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tpdTvoxAii43pzJkh5GZPPuQrn0Rq3Vu32dxnBfVbhIjr6GTeTWQe31OyzK7kGipRKdMyMo7fmi58lPWXRtIbA==" workbookSaltValue="IyMuD8GpMpc0BQ5aytbW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C12" i="14"/>
  <c r="K12" i="14" s="1"/>
  <c r="BG10" i="8"/>
  <c r="H10" i="2"/>
  <c r="X12" i="21"/>
  <c r="BH11" i="16"/>
  <c r="BM16" i="11"/>
  <c r="BF10" i="11"/>
  <c r="BM12" i="11"/>
  <c r="BJ12" i="11"/>
  <c r="BK17" i="11"/>
  <c r="BU11" i="17"/>
  <c r="BW12" i="20"/>
  <c r="BW10" i="20"/>
  <c r="BG12" i="11"/>
  <c r="AQ10" i="21"/>
  <c r="BM17" i="11"/>
  <c r="BJ16" i="11"/>
  <c r="U9" i="17"/>
  <c r="U19" i="17" s="1"/>
  <c r="V9" i="16"/>
  <c r="BH17" i="16"/>
  <c r="BI15" i="11"/>
  <c r="BG15" i="11"/>
  <c r="BU10" i="17"/>
  <c r="BW11" i="20"/>
  <c r="BU16" i="17"/>
  <c r="AZ12" i="11"/>
  <c r="BH10" i="11"/>
  <c r="BH10" i="16"/>
  <c r="L16" i="2"/>
  <c r="BL17" i="11"/>
  <c r="V11" i="11"/>
  <c r="AP17" i="20"/>
  <c r="BH16" i="11"/>
  <c r="AB13" i="2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<sst xmlns="http://schemas.openxmlformats.org/spreadsheetml/2006/main" count="2102" uniqueCount="918">
  <si>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</si>
  <si>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</si>
  <si>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</si>
  <si>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</si>
  <si>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</si>
  <si>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</si>
  <si>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</si>
  <si>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</si>
  <si>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</si>
  <si>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</si>
  <si>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</si>
  <si>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</si>
  <si>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</si>
  <si>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</si>
  <si>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</si>
  <si>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</si>
  <si>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</si>
  <si>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</si>
  <si>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</si>
  <si>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</si>
  <si>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</si>
  <si>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</si>
  <si>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</si>
  <si>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</si>
  <si>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</si>
  <si>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</si>
  <si>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</si>
  <si>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</si>
  <si>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</si>
  <si>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</si>
  <si>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</si>
  <si>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</si>
  <si>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</si>
  <si>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</si>
  <si>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</si>
  <si>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</si>
  <si>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</si>
  <si>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</si>
  <si>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</si>
  <si>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</si>
  <si>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</si>
  <si>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</si>
  <si>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</si>
  <si>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</si>
  <si>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</si>
  <si>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</si>
  <si>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</si>
  <si>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</si>
  <si>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</si>
  <si>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</si>
  <si>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</si>
  <si>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</si>
  <si>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</si>
  <si>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</si>
  <si>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</si>
  <si>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</si>
  <si>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</si>
  <si>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</si>
  <si>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</si>
  <si>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</si>
  <si>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</si>
  <si>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</si>
  <si>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</si>
  <si>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</si>
  <si>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</si>
  <si>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</si>
  <si>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</si>
  <si>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</si>
  <si>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</si>
  <si>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</si>
  <si>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</si>
  <si>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</si>
  <si>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</si>
  <si>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</si>
  <si>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</si>
  <si>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</si>
  <si>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</si>
  <si>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</si>
  <si>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</si>
  <si>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</si>
  <si>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</si>
  <si>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</si>
  <si>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</si>
  <si>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</si>
  <si>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</si>
  <si>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</si>
  <si>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</si>
  <si>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</si>
  <si>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</si>
  <si>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</si>
  <si>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</si>
  <si>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</si>
  <si>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</si>
  <si>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</si>
  <si>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</si>
  <si>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</si>
  <si>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</si>
  <si>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</si>
  <si>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</si>
  <si>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</si>
  <si>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</si>
  <si>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</si>
  <si>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</si>
  <si>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</si>
  <si>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</si>
  <si>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</si>
  <si>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</si>
  <si>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</si>
  <si>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</si>
  <si>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</si>
  <si>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</si>
  <si>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</si>
  <si>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</si>
  <si>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</si>
  <si>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</si>
  <si>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</si>
  <si>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</si>
  <si>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</si>
  <si>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</si>
  <si>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</si>
  <si>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</si>
  <si>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</si>
  <si>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</si>
  <si>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</si>
  <si>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</si>
  <si>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</si>
  <si>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</si>
  <si>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</si>
  <si>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</si>
  <si>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</si>
  <si>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</si>
  <si>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</si>
  <si>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</si>
  <si>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</si>
  <si>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</si>
  <si>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</si>
  <si>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</si>
  <si>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</si>
  <si>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</si>
  <si>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</si>
  <si>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</si>
  <si>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</si>
  <si>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</si>
  <si>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</si>
  <si>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</si>
  <si>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</si>
  <si>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</si>
  <si>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</si>
  <si>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</si>
  <si>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</si>
  <si>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</si>
  <si>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</si>
  <si>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</si>
  <si>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</si>
  <si>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</si>
  <si>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</si>
  <si>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</si>
  <si>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</si>
  <si>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</si>
  <si>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</si>
  <si>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</si>
  <si>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</si>
  <si>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</si>
  <si>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</si>
  <si>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</si>
  <si>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</si>
  <si>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</si>
  <si>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</si>
  <si>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</si>
  <si>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</si>
  <si>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</si>
  <si>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</si>
  <si>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</si>
  <si>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</si>
  <si>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</si>
  <si>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</si>
  <si>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</si>
  <si>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</si>
  <si>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</si>
  <si>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</si>
  <si>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</si>
  <si>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</si>
  <si>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</si>
  <si>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</si>
  <si>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</si>
  <si>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</si>
  <si>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</si>
  <si>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</si>
  <si>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</si>
  <si>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</si>
  <si>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</si>
  <si>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</si>
  <si>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</si>
  <si>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</si>
  <si>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</si>
  <si>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</si>
  <si>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</si>
  <si>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</si>
  <si>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</si>
  <si>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</si>
  <si>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</si>
  <si>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</si>
  <si>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</si>
  <si>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</si>
  <si>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</si>
  <si>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</si>
  <si>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</si>
  <si>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</si>
  <si>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</si>
  <si>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</si>
  <si>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</si>
  <si>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</si>
  <si>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</si>
  <si>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</si>
  <si>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</si>
  <si>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</si>
  <si>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</si>
  <si>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</si>
  <si>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</si>
  <si>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</si>
  <si>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</si>
  <si>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</si>
  <si>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</si>
  <si>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</si>
  <si>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</si>
  <si>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</si>
  <si>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</si>
  <si>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</si>
  <si>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</si>
  <si>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</si>
  <si>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</si>
  <si>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</si>
  <si>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</si>
  <si>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</si>
  <si>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</si>
  <si>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</si>
  <si>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</si>
  <si>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</si>
  <si>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</si>
  <si>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</si>
  <si>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</si>
  <si>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</si>
  <si>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</si>
  <si>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</si>
  <si>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</si>
  <si>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</si>
  <si>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</si>
  <si>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</si>
  <si>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</si>
  <si>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</si>
  <si>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</si>
  <si>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</si>
  <si>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</si>
  <si>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</si>
  <si>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</si>
  <si>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</si>
  <si>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</si>
  <si>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</si>
  <si>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</si>
  <si>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</si>
  <si>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</si>
  <si>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</si>
  <si>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</si>
  <si>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</si>
  <si>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</si>
  <si>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</si>
  <si>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</si>
  <si>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</si>
  <si>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</si>
  <si>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</si>
  <si>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</si>
  <si>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</si>
  <si>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</si>
  <si>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</si>
  <si>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</si>
  <si>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</si>
  <si>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</si>
  <si>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</si>
  <si>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</si>
  <si>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</si>
  <si>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</si>
  <si>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</si>
  <si>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</si>
  <si>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</si>
  <si>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</si>
  <si>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</si>
  <si>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</si>
  <si>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</si>
  <si>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</si>
  <si>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</si>
  <si>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</si>
  <si>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</si>
  <si>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</si>
  <si>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</si>
  <si>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</si>
  <si>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</si>
  <si>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</si>
  <si>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</si>
  <si>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</si>
  <si>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</si>
  <si>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</si>
  <si>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</si>
  <si>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</si>
  <si>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</si>
  <si>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</si>
  <si>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</si>
  <si>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</si>
  <si>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</si>
  <si>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</si>
  <si>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</si>
  <si>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</si>
  <si>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</si>
  <si>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</si>
  <si>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</si>
  <si>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</si>
  <si>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</si>
  <si>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</si>
  <si>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</si>
  <si>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</si>
  <si>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</si>
  <si>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</si>
  <si>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</si>
  <si>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</si>
  <si>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</si>
  <si>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</si>
  <si>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</si>
  <si>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</si>
  <si>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</si>
  <si>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</si>
  <si>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</si>
  <si>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</si>
  <si>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</si>
  <si>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</si>
  <si>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</si>
  <si>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</si>
  <si>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</si>
  <si>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</si>
  <si>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</si>
  <si>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</si>
  <si>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</si>
  <si>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</si>
  <si>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</si>
  <si>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</si>
  <si>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</si>
  <si>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</si>
  <si>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</si>
  <si>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</si>
  <si>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</si>
  <si>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</si>
  <si>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</si>
  <si>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</si>
  <si>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</si>
  <si>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</si>
  <si>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</si>
  <si>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</si>
  <si>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</si>
  <si>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</si>
  <si>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</si>
  <si>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</si>
  <si>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</si>
  <si>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</si>
  <si>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</si>
  <si>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</si>
  <si>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</si>
  <si>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</si>
  <si>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</si>
  <si>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</si>
  <si>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</si>
  <si>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</si>
  <si>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</si>
  <si>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</si>
  <si>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</si>
  <si>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</si>
  <si>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</si>
  <si>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</si>
  <si>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</si>
  <si>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</si>
  <si>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</si>
  <si>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</si>
  <si>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</si>
  <si>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</si>
  <si>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</si>
  <si>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</si>
  <si>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</si>
  <si>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</si>
  <si>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</si>
  <si>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</si>
  <si>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</si>
  <si>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</si>
  <si>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</si>
  <si>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</si>
  <si>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</si>
  <si>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</si>
  <si>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</si>
  <si>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</si>
  <si>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</si>
  <si>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</si>
  <si>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</si>
  <si>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</si>
  <si>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</si>
  <si>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</si>
  <si>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</si>
  <si>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</si>
  <si>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</si>
  <si>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</si>
  <si>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</si>
  <si>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</si>
  <si>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</si>
  <si>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</si>
  <si>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</si>
  <si>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</si>
  <si>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</si>
  <si>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</si>
  <si>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</si>
  <si>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</si>
  <si>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</si>
  <si>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</si>
  <si>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</si>
  <si>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</si>
  <si>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</si>
  <si>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</si>
  <si>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</si>
  <si>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</si>
  <si>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</si>
  <si>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</si>
  <si>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</si>
  <si>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</si>
  <si>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</si>
  <si>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</si>
  <si>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</si>
  <si>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</si>
  <si>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</si>
  <si>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</si>
  <si>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</si>
  <si>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</si>
  <si>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</si>
  <si>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</si>
  <si>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</si>
  <si>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</si>
  <si>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</si>
  <si>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</si>
  <si>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</si>
  <si>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</si>
  <si>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</si>
  <si>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</si>
  <si>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</si>
  <si>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</si>
  <si>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</si>
  <si>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</si>
  <si>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</si>
  <si>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</si>
  <si>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</si>
  <si>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</si>
  <si>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</si>
  <si>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</si>
  <si>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</si>
  <si>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</si>
  <si>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</si>
  <si>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</si>
  <si>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</si>
  <si>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</si>
  <si>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</si>
  <si>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</si>
  <si>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</si>
  <si>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</si>
  <si>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</si>
  <si>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</si>
  <si>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</si>
  <si>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</si>
  <si>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</si>
  <si>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</si>
  <si>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</si>
  <si>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</si>
  <si>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</si>
  <si>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</si>
  <si>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</si>
  <si>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</si>
  <si>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</si>
  <si>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</si>
  <si>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</si>
  <si>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</si>
  <si>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</si>
  <si>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</si>
  <si>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</si>
  <si>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</si>
  <si>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</si>
  <si>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</si>
  <si>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</si>
  <si>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</si>
  <si>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</si>
  <si>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</si>
  <si>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</si>
  <si>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</si>
  <si>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</si>
  <si>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</si>
  <si>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</si>
  <si>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</si>
  <si>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</si>
  <si>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</si>
  <si>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</si>
  <si>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</si>
  <si>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</si>
  <si>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</si>
  <si>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</si>
  <si>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</si>
  <si>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</si>
  <si>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</si>
  <si>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</si>
  <si>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</si>
  <si>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</si>
  <si>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</si>
  <si>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</si>
  <si>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</si>
  <si>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</si>
  <si>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</si>
  <si>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</si>
  <si>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</si>
  <si>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</si>
  <si>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</si>
  <si>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</si>
  <si>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</si>
  <si>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</si>
  <si>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</si>
  <si>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</si>
  <si>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</si>
  <si>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</si>
  <si>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</si>
  <si>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</si>
  <si>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</si>
  <si>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</si>
  <si>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</si>
  <si>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</si>
  <si>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</si>
  <si>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</si>
  <si>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</si>
  <si>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</si>
  <si>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</si>
  <si>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</si>
  <si>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</si>
  <si>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</si>
  <si>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</si>
  <si>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</si>
  <si>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</si>
  <si>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</si>
  <si>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</si>
  <si>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</si>
  <si>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</si>
  <si>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</si>
  <si>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</si>
  <si>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</si>
  <si>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</si>
  <si>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</si>
  <si>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</si>
  <si>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</si>
  <si>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</si>
  <si>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</si>
  <si>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</si>
  <si>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</si>
  <si>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</si>
  <si>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</si>
  <si>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</si>
  <si>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</si>
  <si>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</si>
  <si>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</si>
  <si>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</si>
  <si>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</si>
  <si>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</si>
  <si>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</si>
  <si>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</si>
  <si>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</si>
  <si>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</si>
  <si>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</si>
  <si>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</si>
  <si>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</si>
  <si>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</si>
  <si>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</si>
  <si>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</si>
  <si>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</si>
  <si>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</si>
  <si>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</si>
  <si>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</si>
  <si>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</si>
  <si>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</si>
  <si>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</si>
  <si>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</si>
  <si>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</si>
  <si>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</si>
  <si>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</si>
  <si>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</si>
  <si>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</si>
  <si>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</si>
  <si>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</si>
  <si>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</si>
  <si>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</si>
  <si>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</si>
  <si>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</si>
  <si>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</si>
  <si>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</si>
  <si>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</si>
  <si>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</si>
  <si>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</si>
  <si>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</si>
  <si>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</si>
  <si>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</si>
  <si>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</si>
  <si>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</si>
  <si>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</si>
  <si>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</si>
  <si>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</si>
  <si>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</si>
  <si>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</si>
  <si>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</si>
  <si>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</si>
  <si>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</si>
  <si>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</si>
  <si>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</si>
  <si>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</si>
  <si>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</si>
  <si>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</si>
  <si>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</si>
  <si>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</si>
  <si>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</si>
  <si>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</si>
  <si>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</si>
  <si>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</si>
  <si>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</si>
  <si>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</si>
  <si>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</si>
  <si>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</si>
  <si>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</si>
  <si>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</si>
  <si>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</si>
  <si>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</si>
  <si>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</si>
  <si>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</si>
  <si>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</si>
  <si>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</si>
  <si>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</si>
  <si>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</si>
  <si>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</si>
  <si>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</si>
  <si>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</si>
  <si>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</si>
  <si>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</si>
  <si>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</si>
  <si>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</si>
  <si>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</si>
  <si>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</si>
  <si>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</si>
  <si>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</si>
  <si>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</si>
  <si>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</si>
  <si>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</si>
  <si>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</si>
  <si>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</si>
  <si>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</si>
  <si>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</si>
  <si>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</si>
  <si>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</si>
  <si>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</si>
  <si>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</si>
  <si>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</si>
  <si>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</si>
  <si>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</si>
  <si>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</si>
  <si>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</si>
  <si>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</si>
  <si>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</si>
  <si>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</si>
  <si>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</si>
  <si>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</si>
  <si>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</si>
  <si>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</si>
  <si>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</si>
  <si>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</si>
  <si>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</si>
  <si>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</si>
  <si>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</si>
  <si>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</si>
  <si>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</si>
  <si>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</si>
  <si>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</si>
  <si>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</si>
  <si>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</si>
  <si>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</si>
  <si>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</si>
  <si>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</si>
  <si>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</si>
  <si>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</si>
  <si>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</si>
  <si>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</si>
  <si>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</si>
  <si>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</si>
  <si>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</si>
  <si>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</si>
  <si>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</si>
  <si>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</si>
  <si>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</si>
  <si>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</si>
  <si>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</si>
  <si>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</si>
  <si>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</si>
  <si>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</si>
  <si>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</si>
  <si>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</si>
  <si>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</si>
  <si>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</si>
  <si>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</si>
  <si>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</si>
  <si>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</si>
  <si>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</si>
  <si>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</si>
  <si>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</si>
  <si>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</si>
  <si>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</si>
  <si>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</si>
  <si>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</si>
  <si>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</si>
  <si>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</si>
  <si>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</si>
  <si>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</si>
  <si>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</si>
  <si>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</si>
  <si>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</si>
  <si>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</si>
  <si>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</si>
  <si>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</si>
  <si>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</si>
  <si>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</si>
  <si>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</si>
  <si>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</si>
  <si>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</si>
  <si>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</si>
  <si>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</si>
  <si>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</si>
  <si>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</si>
  <si>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</si>
  <si>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</si>
  <si>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</si>
  <si>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</si>
  <si>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</si>
  <si>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</si>
  <si>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</si>
  <si>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</si>
  <si>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</si>
  <si>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</si>
  <si>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</si>
  <si>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</si>
  <si>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</si>
  <si>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</si>
  <si>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</si>
  <si>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</si>
  <si>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</si>
  <si>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</si>
  <si>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</si>
  <si>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</si>
  <si>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</si>
  <si>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</si>
  <si>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</si>
  <si>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</si>
  <si>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</si>
  <si>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</si>
  <si>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</si>
  <si>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</si>
  <si>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</si>
  <si>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</si>
  <si>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</si>
  <si>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</si>
  <si>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</si>
  <si>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</si>
  <si>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</si>
  <si>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</si>
  <si>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</si>
  <si>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</si>
  <si>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</si>
  <si>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</si>
  <si>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</si>
  <si>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</si>
  <si>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</si>
  <si>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</si>
  <si>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</si>
  <si>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</si>
  <si>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</si>
  <si>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</si>
  <si>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</si>
  <si>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</si>
  <si>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</si>
  <si>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</si>
  <si>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</si>
  <si>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</si>
  <si>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</si>
  <si>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</si>
  <si>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</si>
  <si>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</si>
  <si>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</si>
  <si>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</si>
  <si>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</si>
  <si>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</si>
  <si>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</si>
  <si>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</si>
  <si>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</si>
  <si>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</si>
  <si>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</si>
  <si>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</si>
  <si>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</si>
  <si>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</si>
  <si>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</si>
  <si>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</si>
  <si>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</si>
  <si>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</si>
  <si>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</si>
  <si>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</si>
  <si>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</si>
  <si>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</si>
  <si>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</si>
  <si>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</si>
  <si>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</si>
  <si>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</si>
  <si>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</si>
  <si>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</si>
  <si>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</si>
  <si>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</si>
  <si>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</si>
  <si>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</si>
  <si>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</si>
  <si>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</si>
  <si>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</si>
  <si>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</si>
  <si>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</si>
  <si>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</si>
  <si>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</si>
  <si>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</si>
  <si>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</si>
  <si>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</si>
  <si>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</si>
  <si>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</si>
  <si>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</si>
  <si>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</si>
  <si>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</si>
  <si>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</si>
  <si>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</si>
  <si>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</si>
  <si>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</si>
  <si>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</si>
  <si>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</si>
  <si>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</si>
  <si>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</si>
  <si>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</si>
  <si>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</si>
  <si>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</si>
  <si>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</si>
  <si>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</si>
  <si>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</si>
  <si>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</si>
  <si>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</si>
  <si>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</si>
  <si>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</si>
  <si>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</si>
  <si>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</si>
  <si>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</si>
  <si>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</si>
  <si>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</si>
  <si>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</si>
  <si>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</si>
  <si>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</si>
  <si>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</si>
  <si>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</si>
  <si>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</si>
  <si>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</si>
  <si>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</si>
  <si>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</si>
  <si>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</si>
  <si>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</si>
  <si>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</si>
  <si>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</si>
  <si>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</si>
  <si>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</si>
  <si>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</si>
  <si>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</si>
  <si>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</si>
  <si>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</si>
  <si>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</si>
  <si>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</si>
  <si>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</si>
  <si>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</si>
  <si>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</si>
  <si>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</si>
  <si>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</si>
  <si>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</si>
  <si>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</si>
  <si>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</si>
  <si>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</si>
  <si>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</si>
  <si>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</si>
  <si>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</si>
  <si>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</si>
  <si>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</si>
  <si>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</si>
  <si>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</si>
  <si>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</si>
  <si>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</si>
  <si>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</si>
  <si>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</si>
  <si>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</si>
  <si>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</si>
  <si>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</si>
  <si>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</si>
  <si>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</si>
  <si>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</si>
  <si>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</si>
  <si>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</si>
  <si>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</si>
  <si>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</si>
  <si>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</si>
  <si>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</si>
  <si>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</si>
  <si>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</si>
  <si>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SANTA COLOMA DE GRAMENET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</si>
</sst>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2N5HIhwmSk9gUc7/r0L45R6+T0GW4uS4/Cj7SGNTrt7+4mBsDPQ9mqhyQe+xHPg0z4ZmjSaQSayOJK78dTtZA==" saltValue="/UuYthDCiW53Db4BbdYQ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53</v>
      </c>
      <c r="D10" s="225">
        <f>IF(ISNUMBER(Datos!I10),Datos!I10," - ")</f>
        <v>53</v>
      </c>
      <c r="E10" s="226">
        <f>IF(ISNUMBER(Datos!J10),Datos!J10," - ")</f>
        <v>16</v>
      </c>
      <c r="F10" s="226">
        <f>IF(ISNUMBER(Datos!K10),Datos!K10," - ")</f>
        <v>17</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-1.8867924528301886E-2</v>
      </c>
      <c r="L10" s="1025">
        <f>IF(ISNUMBER(NºAsuntos!I10/NºAsuntos!G10),(NºAsuntos!I10/NºAsuntos!G10)*11," - ")</f>
        <v>33.647058823529406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32.051376146788989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53</v>
      </c>
      <c r="D13" s="1049">
        <f>SUBTOTAL(9,D9:D12)</f>
        <v>53</v>
      </c>
      <c r="E13" s="1050">
        <f>SUBTOTAL(9,E9:E12)</f>
        <v>16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1759</v>
      </c>
      <c r="D16" s="225">
        <f>IF(ISNUMBER(IF(D_I="SI",Datos!I16,Datos!I16+Datos!AC16)),IF(D_I="SI",Datos!I16,Datos!I16+Datos!AC16)," - ")</f>
        <v>1748</v>
      </c>
      <c r="E16" s="226">
        <f>IF(ISNUMBER(IF(D_I="SI",Datos!J16,Datos!J16+Datos!AD16)),IF(D_I="SI",Datos!J16,Datos!J16+Datos!AD16)," - ")</f>
        <v>1523</v>
      </c>
      <c r="F16" s="226">
        <f>IF(ISNUMBER(IF(D_I="SI",Datos!K16,Datos!K16+Datos!AE16)),IF(D_I="SI",Datos!K16,Datos!K16+Datos!AE16)," - ")</f>
        <v>1419</v>
      </c>
      <c r="G16" s="1034" t="str">
        <f>IF(Datos!E16&lt;&gt;"",Datos!E16,Datos!D16)</f>
        <v>04</v>
      </c>
      <c r="H16" s="227">
        <f>IF(ISNUMBER(IF(D_I="SI",Datos!L16,Datos!L16+Datos!AF16)),IF(D_I="SI",Datos!L16,Datos!L16+Datos!AF16)," - ")</f>
        <v>1863</v>
      </c>
      <c r="I16" s="1044" t="str">
        <f>IF(ISNUMBER(Datos!AS16/Datos!BM16),Datos!AS16/Datos!BM16," - ")</f>
        <v xml:space="preserve"> - </v>
      </c>
      <c r="J16" s="1045">
        <f>IF(ISNUMBER(Datos!BY16/Datos!CN16),Datos!BY16/Datos!CN16," - ")</f>
        <v>0</v>
      </c>
      <c r="K16" s="230">
        <f t="shared" si="3"/>
        <v>5.9124502558271744E-2</v>
      </c>
      <c r="L16" s="1025">
        <f>IF(ISNUMBER(NºAsuntos!I16/NºAsuntos!G16),(NºAsuntos!I16/NºAsuntos!G16)*11," - ")</f>
        <v>14.441860465116278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167</v>
      </c>
      <c r="D17" s="225">
        <f>IF(ISNUMBER(IF(D_I="SI",Datos!I17,Datos!I17+Datos!AC17)),IF(D_I="SI",Datos!I17,Datos!I17+Datos!AC17)," - ")</f>
        <v>167</v>
      </c>
      <c r="E17" s="226">
        <f>IF(ISNUMBER(IF(D_I="SI",Datos!J17,Datos!J17+Datos!AD17)),IF(D_I="SI",Datos!J17,Datos!J17+Datos!AD17)," - ")</f>
        <v>185</v>
      </c>
      <c r="F17" s="226">
        <f>IF(ISNUMBER(IF(D_I="SI",Datos!K17,Datos!K17+Datos!AE17)),IF(D_I="SI",Datos!K17,Datos!K17+Datos!AE17)," - ")</f>
        <v>191</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-3.5928143712574849E-2</v>
      </c>
      <c r="L17" s="1025">
        <f>IF(ISNUMBER(NºAsuntos!I17/NºAsuntos!G17),(NºAsuntos!I17/NºAsuntos!G17)*11," - ")</f>
        <v>9.2722513089005236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1926</v>
      </c>
      <c r="D18" s="1049">
        <f>SUBTOTAL(9,D15:D17)</f>
        <v>1915</v>
      </c>
      <c r="E18" s="1050">
        <f>SUBTOTAL(9,E15:E17)</f>
        <v>1708</v>
      </c>
      <c r="F18" s="1050">
        <f>SUBTOTAL(9,F15:F17)</f>
        <v>1610</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1979</v>
      </c>
      <c r="D19" s="1071">
        <f>SUBTOTAL(9,D9:D18)</f>
        <v>1968</v>
      </c>
      <c r="E19" s="1072">
        <f>SUBTOTAL(9,E9:E18)</f>
        <v>1724</v>
      </c>
      <c r="F19" s="1072">
        <f>SUBTOTAL(9,F9:F18)</f>
        <v>1627</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wH6/bARBkfYuYPnzJWOIHaU/r0M8HXX/Tn+yjbyvaXE0GKG3n4y84w8waTrutWulXxq8RAEns9q/QWSvXrCMw==" saltValue="Do0VkpIOzyuOt9SeMoHNH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nm5dX1COHXiaJDv9HyW3p9ax+4iksLTPUTcI+0pld6iCox2PHt45nBeghT+6INRXKI5Y4QonoqSiN7FNnABkA==" saltValue="UPb0LkPORS4XcDyN/2MA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53</v>
      </c>
      <c r="J10" s="181">
        <v>16</v>
      </c>
      <c r="K10" s="181">
        <v>17</v>
      </c>
      <c r="L10" s="181">
        <v>52</v>
      </c>
      <c r="M10" s="181">
        <v>10</v>
      </c>
      <c r="N10" s="181">
        <v>3</v>
      </c>
      <c r="O10" s="181">
        <v>3</v>
      </c>
      <c r="P10" s="181">
        <v>5</v>
      </c>
      <c r="Q10" s="181">
        <v>0</v>
      </c>
      <c r="R10" s="181">
        <v>103</v>
      </c>
      <c r="S10" s="181">
        <v>58</v>
      </c>
      <c r="T10" s="181">
        <v>25</v>
      </c>
      <c r="U10" s="181">
        <v>22</v>
      </c>
      <c r="V10" s="181">
        <v>61</v>
      </c>
      <c r="W10" s="181">
        <v>10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58</v>
      </c>
      <c r="AZ10" s="129">
        <f t="shared" si="0"/>
        <v>25</v>
      </c>
      <c r="BA10" s="129">
        <f t="shared" si="0"/>
        <v>22</v>
      </c>
      <c r="BB10" s="129">
        <f t="shared" si="0"/>
        <v>61</v>
      </c>
      <c r="BC10" s="125">
        <f t="shared" si="0"/>
        <v>10</v>
      </c>
      <c r="BD10" s="126">
        <f>IF(ISNUMBER(BA10/AZ10),BA10/AZ10," - ")</f>
        <v>0.88</v>
      </c>
      <c r="BE10" s="127">
        <f>IF(ISNUMBER(BB10/BA10),BB10/BA10, " - ")</f>
        <v>2.7727272727272729</v>
      </c>
      <c r="BF10" s="127">
        <f>IF(ISNUMBER(BC10/BA10),BC10/BA10, " - ")</f>
        <v>0.45454545454545453</v>
      </c>
      <c r="BG10" s="196">
        <f>IF(ISNUMBER((AY10+AZ10)/BA10),(AY10+AZ10)/BA10," - ")</f>
        <v>3.7727272727272729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4773</v>
      </c>
      <c r="J12" s="183">
        <v>1332</v>
      </c>
      <c r="K12" s="183">
        <v>1451</v>
      </c>
      <c r="L12" s="183">
        <v>4713</v>
      </c>
      <c r="M12" s="183">
        <v>363</v>
      </c>
      <c r="N12" s="183">
        <v>819</v>
      </c>
      <c r="O12" s="181">
        <v>494</v>
      </c>
      <c r="P12" s="183">
        <v>265</v>
      </c>
      <c r="Q12" s="183">
        <v>185</v>
      </c>
      <c r="R12" s="183">
        <v>7688</v>
      </c>
      <c r="S12" s="183">
        <v>4570</v>
      </c>
      <c r="T12" s="183">
        <v>1472</v>
      </c>
      <c r="U12" s="183">
        <v>1370</v>
      </c>
      <c r="V12" s="183">
        <v>4672</v>
      </c>
      <c r="W12" s="183">
        <v>361</v>
      </c>
      <c r="X12" s="189">
        <v>687</v>
      </c>
      <c r="Y12" s="191">
        <v>59</v>
      </c>
      <c r="Z12" s="181">
        <v>176</v>
      </c>
      <c r="AA12" s="181">
        <v>184</v>
      </c>
      <c r="AB12" s="181">
        <v>51</v>
      </c>
      <c r="AC12" s="183">
        <v>0</v>
      </c>
      <c r="AD12" s="183">
        <v>0</v>
      </c>
      <c r="AE12" s="183">
        <v>0</v>
      </c>
      <c r="AF12" s="189">
        <v>0</v>
      </c>
      <c r="AG12" s="202">
        <v>66</v>
      </c>
      <c r="AH12" s="183">
        <v>276</v>
      </c>
      <c r="AI12" s="183">
        <v>216</v>
      </c>
      <c r="AJ12" s="203">
        <v>126</v>
      </c>
      <c r="AK12" s="182">
        <v>0</v>
      </c>
      <c r="AL12" s="183">
        <v>0</v>
      </c>
      <c r="AM12" s="183">
        <v>0</v>
      </c>
      <c r="AN12" s="189">
        <v>0</v>
      </c>
      <c r="AO12" s="259">
        <v>6</v>
      </c>
      <c r="AP12" s="155">
        <v>6</v>
      </c>
      <c r="AQ12" s="155">
        <v>6</v>
      </c>
      <c r="AR12" s="154">
        <v>6</v>
      </c>
      <c r="AS12" s="340" t="s">
        <v>802</v>
      </c>
      <c r="AT12" s="203"/>
      <c r="AU12" s="202"/>
      <c r="AV12" s="203"/>
      <c r="AW12" s="202"/>
      <c r="AX12" s="203"/>
      <c r="AY12" s="126">
        <f t="shared" si="1"/>
        <v>4636</v>
      </c>
      <c r="AZ12" s="127">
        <f t="shared" si="1"/>
        <v>1748</v>
      </c>
      <c r="BA12" s="127">
        <f t="shared" si="1"/>
        <v>1586</v>
      </c>
      <c r="BB12" s="127">
        <f t="shared" si="1"/>
        <v>4798</v>
      </c>
      <c r="BC12" s="125">
        <f>IF(ISNUMBER(X12),X12," - ")</f>
        <v>687</v>
      </c>
      <c r="BD12" s="126">
        <f t="shared" si="2"/>
        <v>0.90732265446224258</v>
      </c>
      <c r="BE12" s="127">
        <f t="shared" si="3"/>
        <v>3.0252206809583857</v>
      </c>
      <c r="BF12" s="127">
        <f t="shared" si="4"/>
        <v>0.43316519546027743</v>
      </c>
      <c r="BG12" s="196">
        <f t="shared" si="5"/>
        <v>4.0252206809583857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4826</v>
      </c>
      <c r="J13" s="184">
        <f t="shared" si="6"/>
        <v>1348</v>
      </c>
      <c r="K13" s="184">
        <f t="shared" si="6"/>
        <v>1468</v>
      </c>
      <c r="L13" s="184">
        <f t="shared" si="6"/>
        <v>4765</v>
      </c>
      <c r="M13" s="184">
        <f t="shared" si="6"/>
        <v>373</v>
      </c>
      <c r="N13" s="184">
        <f t="shared" si="6"/>
        <v>822</v>
      </c>
      <c r="O13" s="184">
        <f t="shared" si="6"/>
        <v>497</v>
      </c>
      <c r="P13" s="184">
        <f t="shared" si="6"/>
        <v>270</v>
      </c>
      <c r="Q13" s="184">
        <f t="shared" si="6"/>
        <v>185</v>
      </c>
      <c r="R13" s="184">
        <f t="shared" si="6"/>
        <v>7791</v>
      </c>
      <c r="S13" s="184">
        <f t="shared" si="6"/>
        <v>4628</v>
      </c>
      <c r="T13" s="184">
        <f t="shared" si="6"/>
        <v>1497</v>
      </c>
      <c r="U13" s="184">
        <f t="shared" si="6"/>
        <v>1392</v>
      </c>
      <c r="V13" s="184">
        <f t="shared" si="6"/>
        <v>4733</v>
      </c>
      <c r="W13" s="184">
        <f t="shared" si="6"/>
        <v>371</v>
      </c>
      <c r="X13" s="184">
        <f t="shared" si="6"/>
        <v>689</v>
      </c>
      <c r="Y13" s="184">
        <f t="shared" si="6"/>
        <v>59</v>
      </c>
      <c r="Z13" s="184">
        <f t="shared" si="6"/>
        <v>176</v>
      </c>
      <c r="AA13" s="184">
        <f t="shared" si="6"/>
        <v>184</v>
      </c>
      <c r="AB13" s="184">
        <f t="shared" si="6"/>
        <v>51</v>
      </c>
      <c r="AC13" s="184">
        <f t="shared" si="6"/>
        <v>0</v>
      </c>
      <c r="AD13" s="184">
        <f t="shared" si="6"/>
        <v>0</v>
      </c>
      <c r="AE13" s="184">
        <f t="shared" si="6"/>
        <v>0</v>
      </c>
      <c r="AF13" s="184">
        <f>SUBTOTAL(9,AF9:AF12)</f>
        <v>0</v>
      </c>
      <c r="AG13" s="184">
        <f t="shared" ref="AG13:AT13" si="7">SUBTOTAL(9,AG8:AG12)</f>
        <v>66</v>
      </c>
      <c r="AH13" s="184">
        <f t="shared" si="7"/>
        <v>276</v>
      </c>
      <c r="AI13" s="184">
        <f t="shared" si="7"/>
        <v>216</v>
      </c>
      <c r="AJ13" s="184">
        <f t="shared" si="7"/>
        <v>126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4694</v>
      </c>
      <c r="AZ13" s="184">
        <f>SUBTOTAL(9,AZ8:AZ12)</f>
        <v>1773</v>
      </c>
      <c r="BA13" s="184">
        <f>SUBTOTAL(9,BA8:BA12)</f>
        <v>1608</v>
      </c>
      <c r="BB13" s="184">
        <f>SUBTOTAL(9,BB8:BB12)</f>
        <v>4859</v>
      </c>
      <c r="BC13" s="184">
        <f>SUBTOTAL(9,BC8:BC12)</f>
        <v>697</v>
      </c>
      <c r="BD13" s="205">
        <f>IF(ISNUMBER(BA13/AZ13),BA13/AZ13," - ")</f>
        <v>0.9069373942470389</v>
      </c>
      <c r="BE13" s="206">
        <f>IF(ISNUMBER(BB13/BA13),BB13/BA13, " - ")</f>
        <v>3.0217661691542288</v>
      </c>
      <c r="BF13" s="206">
        <f>IF(ISNUMBER(BC13/BA13),BC13/BA13, " - ")</f>
        <v>0.43345771144278605</v>
      </c>
      <c r="BG13" s="207">
        <f>IF(ISNUMBER((AY13+AZ13)/BA13),(AY13+AZ13)/BA13," - ")</f>
        <v>4.0217661691542288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1748</v>
      </c>
      <c r="J16" s="183">
        <v>1523</v>
      </c>
      <c r="K16" s="183">
        <v>1419</v>
      </c>
      <c r="L16" s="183">
        <v>1863</v>
      </c>
      <c r="M16" s="183">
        <v>183</v>
      </c>
      <c r="N16" s="183">
        <v>878</v>
      </c>
      <c r="O16" s="181">
        <v>0</v>
      </c>
      <c r="P16" s="183">
        <v>64</v>
      </c>
      <c r="Q16" s="183">
        <v>49</v>
      </c>
      <c r="R16" s="183">
        <v>500</v>
      </c>
      <c r="S16" s="183">
        <v>1661</v>
      </c>
      <c r="T16" s="183">
        <v>1595</v>
      </c>
      <c r="U16" s="183">
        <v>1624</v>
      </c>
      <c r="V16" s="183">
        <v>1632</v>
      </c>
      <c r="W16" s="183">
        <v>225</v>
      </c>
      <c r="X16" s="189">
        <v>1013</v>
      </c>
      <c r="Y16" s="202">
        <v>0</v>
      </c>
      <c r="Z16" s="183">
        <v>0</v>
      </c>
      <c r="AA16" s="183">
        <v>0</v>
      </c>
      <c r="AB16" s="183">
        <v>0</v>
      </c>
      <c r="AC16" s="183">
        <v>1</v>
      </c>
      <c r="AD16" s="183">
        <v>21</v>
      </c>
      <c r="AE16" s="183">
        <v>20</v>
      </c>
      <c r="AF16" s="189">
        <v>2</v>
      </c>
      <c r="AG16" s="202">
        <v>0</v>
      </c>
      <c r="AH16" s="183">
        <v>0</v>
      </c>
      <c r="AI16" s="183">
        <v>0</v>
      </c>
      <c r="AJ16" s="203">
        <v>0</v>
      </c>
      <c r="AK16" s="182">
        <v>7</v>
      </c>
      <c r="AL16" s="183">
        <v>43</v>
      </c>
      <c r="AM16" s="183">
        <v>38</v>
      </c>
      <c r="AN16" s="189">
        <v>12</v>
      </c>
      <c r="AO16" s="259">
        <v>6</v>
      </c>
      <c r="AP16" s="155">
        <v>6</v>
      </c>
      <c r="AQ16" s="155">
        <v>6</v>
      </c>
      <c r="AR16" s="155">
        <v>6</v>
      </c>
      <c r="AS16" s="340" t="s">
        <v>487</v>
      </c>
      <c r="AT16" s="203"/>
      <c r="AU16" s="202"/>
      <c r="AV16" s="203"/>
      <c r="AW16" s="202"/>
      <c r="AX16" s="203"/>
      <c r="AY16" s="126">
        <f t="shared" si="9"/>
        <v>1661</v>
      </c>
      <c r="AZ16" s="127">
        <f t="shared" si="9"/>
        <v>1595</v>
      </c>
      <c r="BA16" s="127">
        <f t="shared" si="9"/>
        <v>1624</v>
      </c>
      <c r="BB16" s="127">
        <f t="shared" si="9"/>
        <v>1632</v>
      </c>
      <c r="BC16" s="125">
        <f>IF(ISNUMBER(W16),W16," - ")</f>
        <v>225</v>
      </c>
      <c r="BD16" s="126">
        <f t="shared" ref="BD16" si="11">IF(ISNUMBER(BA16/AZ16),BA16/AZ16," - ")</f>
        <v>1.0181818181818181</v>
      </c>
      <c r="BE16" s="127">
        <f t="shared" ref="BE16" si="12">IF(ISNUMBER(BB16/BA16),BB16/BA16, " - ")</f>
        <v>1.0049261083743843</v>
      </c>
      <c r="BF16" s="127">
        <f t="shared" ref="BF16" si="13">IF(ISNUMBER(BC16/BA16),BC16/BA16, " - ")</f>
        <v>0.13854679802955666</v>
      </c>
      <c r="BG16" s="196">
        <f t="shared" si="10"/>
        <v>2.0049261083743843</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167</v>
      </c>
      <c r="J17" s="183">
        <v>185</v>
      </c>
      <c r="K17" s="183">
        <v>191</v>
      </c>
      <c r="L17" s="183">
        <v>161</v>
      </c>
      <c r="M17" s="183">
        <v>17</v>
      </c>
      <c r="N17" s="183">
        <v>101</v>
      </c>
      <c r="O17" s="183">
        <v>0</v>
      </c>
      <c r="P17" s="183">
        <v>1</v>
      </c>
      <c r="Q17" s="183">
        <v>1</v>
      </c>
      <c r="R17" s="183">
        <v>5</v>
      </c>
      <c r="S17" s="183">
        <v>259</v>
      </c>
      <c r="T17" s="183">
        <v>191</v>
      </c>
      <c r="U17" s="183">
        <v>240</v>
      </c>
      <c r="V17" s="183">
        <v>210</v>
      </c>
      <c r="W17" s="183">
        <v>6</v>
      </c>
      <c r="X17" s="189">
        <v>141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259</v>
      </c>
      <c r="AZ17" s="129">
        <f t="shared" si="14"/>
        <v>191</v>
      </c>
      <c r="BA17" s="129">
        <f t="shared" si="14"/>
        <v>240</v>
      </c>
      <c r="BB17" s="129">
        <f t="shared" si="14"/>
        <v>210</v>
      </c>
      <c r="BC17" s="125">
        <f>IF(ISNUMBER(W17),W17," - ")</f>
        <v>6</v>
      </c>
      <c r="BD17" s="126">
        <f>IF(ISNUMBER(BA17/AZ17),BA17/AZ17," - ")</f>
        <v>1.256544502617801</v>
      </c>
      <c r="BE17" s="127">
        <f>IF(ISNUMBER(BB17/BA17),BB17/BA17, " - ")</f>
        <v>0.875</v>
      </c>
      <c r="BF17" s="127">
        <f>IF(ISNUMBER(BC17/BA17),BC17/BA17, " - ")</f>
        <v>2.5000000000000001E-2</v>
      </c>
      <c r="BG17" s="196">
        <f>IF(ISNUMBER((AY17+AZ17)/BA17),(AY17+AZ17)/BA17," - ")</f>
        <v>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1915</v>
      </c>
      <c r="J18" s="184">
        <f t="shared" si="15"/>
        <v>1708</v>
      </c>
      <c r="K18" s="184">
        <f t="shared" si="15"/>
        <v>1610</v>
      </c>
      <c r="L18" s="184">
        <f t="shared" si="15"/>
        <v>2024</v>
      </c>
      <c r="M18" s="184">
        <f t="shared" si="15"/>
        <v>200</v>
      </c>
      <c r="N18" s="184">
        <f t="shared" si="15"/>
        <v>979</v>
      </c>
      <c r="O18" s="184">
        <f t="shared" si="15"/>
        <v>0</v>
      </c>
      <c r="P18" s="184">
        <f t="shared" si="15"/>
        <v>65</v>
      </c>
      <c r="Q18" s="184">
        <f t="shared" si="15"/>
        <v>50</v>
      </c>
      <c r="R18" s="184">
        <f t="shared" si="15"/>
        <v>505</v>
      </c>
      <c r="S18" s="184">
        <f t="shared" si="15"/>
        <v>1920</v>
      </c>
      <c r="T18" s="184">
        <f t="shared" si="15"/>
        <v>1786</v>
      </c>
      <c r="U18" s="184">
        <f t="shared" si="15"/>
        <v>1864</v>
      </c>
      <c r="V18" s="184">
        <f t="shared" si="15"/>
        <v>1842</v>
      </c>
      <c r="W18" s="184">
        <f t="shared" si="15"/>
        <v>231</v>
      </c>
      <c r="X18" s="184">
        <f t="shared" si="15"/>
        <v>1154</v>
      </c>
      <c r="Y18" s="184">
        <f t="shared" si="15"/>
        <v>0</v>
      </c>
      <c r="Z18" s="184">
        <f t="shared" si="15"/>
        <v>0</v>
      </c>
      <c r="AA18" s="184">
        <f t="shared" si="15"/>
        <v>0</v>
      </c>
      <c r="AB18" s="184">
        <f t="shared" si="15"/>
        <v>0</v>
      </c>
      <c r="AC18" s="184">
        <f t="shared" si="15"/>
        <v>1</v>
      </c>
      <c r="AD18" s="184">
        <f t="shared" si="15"/>
        <v>21</v>
      </c>
      <c r="AE18" s="184">
        <f t="shared" si="15"/>
        <v>20</v>
      </c>
      <c r="AF18" s="184">
        <f t="shared" si="15"/>
        <v>2</v>
      </c>
      <c r="AG18" s="184">
        <f t="shared" si="15"/>
        <v>0</v>
      </c>
      <c r="AH18" s="184">
        <f t="shared" si="15"/>
        <v>0</v>
      </c>
      <c r="AI18" s="184">
        <f t="shared" si="15"/>
        <v>0</v>
      </c>
      <c r="AJ18" s="184">
        <f t="shared" si="15"/>
        <v>0</v>
      </c>
      <c r="AK18" s="184">
        <f t="shared" si="15"/>
        <v>7</v>
      </c>
      <c r="AL18" s="184">
        <f t="shared" si="15"/>
        <v>43</v>
      </c>
      <c r="AM18" s="184">
        <f t="shared" si="15"/>
        <v>38</v>
      </c>
      <c r="AN18" s="184">
        <f t="shared" si="15"/>
        <v>12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1920</v>
      </c>
      <c r="AZ18" s="184">
        <f>SUBTOTAL(9,AZ14:AZ17)</f>
        <v>1786</v>
      </c>
      <c r="BA18" s="184">
        <f>SUBTOTAL(9,BA14:BA17)</f>
        <v>1864</v>
      </c>
      <c r="BB18" s="184">
        <f>SUBTOTAL(9,BB14:BB17)</f>
        <v>1842</v>
      </c>
      <c r="BC18" s="184">
        <f>SUBTOTAL(9,BC14:BC17)</f>
        <v>231</v>
      </c>
      <c r="BD18" s="205">
        <f>IF(ISNUMBER(BA18/AZ18),BA18/AZ18," - ")</f>
        <v>1.0436730123180291</v>
      </c>
      <c r="BE18" s="206">
        <f>IF(ISNUMBER(BB18/BA18),BB18/BA18, " - ")</f>
        <v>0.9881974248927039</v>
      </c>
      <c r="BF18" s="206">
        <f>IF(ISNUMBER(BC18/BA18),BC18/BA18, " - ")</f>
        <v>0.12392703862660945</v>
      </c>
      <c r="BG18" s="207">
        <f>IF(ISNUMBER((AY18+AZ18)/BA18),(AY18+AZ18)/BA18," - ")</f>
        <v>1.9881974248927039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6741</v>
      </c>
      <c r="J19" s="134">
        <f t="shared" si="18"/>
        <v>3056</v>
      </c>
      <c r="K19" s="134">
        <f t="shared" si="18"/>
        <v>3078</v>
      </c>
      <c r="L19" s="134">
        <f t="shared" si="18"/>
        <v>6789</v>
      </c>
      <c r="M19" s="134">
        <f t="shared" si="18"/>
        <v>573</v>
      </c>
      <c r="N19" s="134">
        <f t="shared" si="18"/>
        <v>1801</v>
      </c>
      <c r="O19" s="134">
        <f t="shared" si="18"/>
        <v>497</v>
      </c>
      <c r="P19" s="134">
        <f t="shared" si="18"/>
        <v>335</v>
      </c>
      <c r="Q19" s="134">
        <f t="shared" si="18"/>
        <v>235</v>
      </c>
      <c r="R19" s="134">
        <f t="shared" si="18"/>
        <v>8296</v>
      </c>
      <c r="S19" s="134">
        <f t="shared" si="18"/>
        <v>6548</v>
      </c>
      <c r="T19" s="134">
        <f t="shared" si="18"/>
        <v>3283</v>
      </c>
      <c r="U19" s="134">
        <f t="shared" si="18"/>
        <v>3256</v>
      </c>
      <c r="V19" s="134">
        <f t="shared" si="18"/>
        <v>6575</v>
      </c>
      <c r="W19" s="134">
        <f t="shared" si="18"/>
        <v>602</v>
      </c>
      <c r="X19" s="134">
        <f t="shared" si="18"/>
        <v>1843</v>
      </c>
      <c r="Y19" s="134">
        <f t="shared" si="18"/>
        <v>59</v>
      </c>
      <c r="Z19" s="134">
        <f t="shared" si="18"/>
        <v>176</v>
      </c>
      <c r="AA19" s="134">
        <f t="shared" si="18"/>
        <v>184</v>
      </c>
      <c r="AB19" s="134">
        <f t="shared" si="18"/>
        <v>51</v>
      </c>
      <c r="AC19" s="134">
        <f t="shared" si="18"/>
        <v>1</v>
      </c>
      <c r="AD19" s="134">
        <f t="shared" si="18"/>
        <v>21</v>
      </c>
      <c r="AE19" s="134">
        <f t="shared" si="18"/>
        <v>20</v>
      </c>
      <c r="AF19" s="134">
        <f t="shared" si="18"/>
        <v>2</v>
      </c>
      <c r="AG19" s="134">
        <f t="shared" si="18"/>
        <v>66</v>
      </c>
      <c r="AH19" s="134">
        <f t="shared" si="18"/>
        <v>276</v>
      </c>
      <c r="AI19" s="134">
        <f t="shared" si="18"/>
        <v>216</v>
      </c>
      <c r="AJ19" s="134">
        <f t="shared" si="18"/>
        <v>126</v>
      </c>
      <c r="AK19" s="134">
        <f t="shared" si="18"/>
        <v>7</v>
      </c>
      <c r="AL19" s="134">
        <f t="shared" si="18"/>
        <v>43</v>
      </c>
      <c r="AM19" s="134">
        <f t="shared" si="18"/>
        <v>38</v>
      </c>
      <c r="AN19" s="210">
        <f t="shared" si="18"/>
        <v>12</v>
      </c>
      <c r="AO19" s="211">
        <v>7</v>
      </c>
      <c r="AP19" s="211">
        <v>6</v>
      </c>
      <c r="AQ19" s="211">
        <v>6</v>
      </c>
      <c r="AR19" s="211">
        <v>6</v>
      </c>
      <c r="AS19" s="153">
        <f t="shared" si="18"/>
        <v>0</v>
      </c>
      <c r="AT19" s="153">
        <f t="shared" si="18"/>
        <v>0</v>
      </c>
      <c r="AU19" s="211"/>
      <c r="AV19" s="212"/>
      <c r="AW19" s="211"/>
      <c r="AX19" s="212"/>
      <c r="AY19" s="133">
        <f>SUBTOTAL(9,AY9:AY18)</f>
        <v>6614</v>
      </c>
      <c r="AZ19" s="134">
        <f>SUBTOTAL(9,AZ9:AZ18)</f>
        <v>3559</v>
      </c>
      <c r="BA19" s="134">
        <f>SUBTOTAL(9,BA9:BA18)</f>
        <v>3472</v>
      </c>
      <c r="BB19" s="134">
        <f>SUBTOTAL(9,BB9:BB18)</f>
        <v>6701</v>
      </c>
      <c r="BC19" s="135">
        <f>SUBTOTAL(9,BC9:BC18)</f>
        <v>928</v>
      </c>
      <c r="BD19" s="213">
        <f>IF(ISNUMBER(BA19/AZ19),BA19/AZ19," - ")</f>
        <v>0.97555493116043834</v>
      </c>
      <c r="BE19" s="210">
        <f>IF(ISNUMBER(BB19/BA19),BB19/BA19, " - ")</f>
        <v>1.9300115207373272</v>
      </c>
      <c r="BF19" s="210">
        <f>IF(ISNUMBER(BC19/BA19),BC19/BA19, " - ")</f>
        <v>0.26728110599078342</v>
      </c>
      <c r="BG19" s="135">
        <f>IF(ISNUMBER((AY19+AZ19)/BA19),(AY19+AZ19)/BA19," - ")</f>
        <v>2.9300115207373274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G6tMF5XAKy0F3BESvUluUL5YxRGG7o9hIsp9B3POGxtEyQq6qeDKhpI86PBd3rKCX7zbBP2ywz3Aqpvjj15kA==" saltValue="iXXtaq3U4TrLUPhg5mcf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LaQXvg665bvq1/DIs9hPlxmJnBR4hnQFXPY564uXOAOsg+zC0SjYskT4TIlBCFreWnmZsmTQkJC2GG0LVYx8Q==" saltValue="ThHFUhsxUl9evGiMTtZD0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53</v>
      </c>
      <c r="G10" s="333">
        <f>IF(ISNUMBER(Datos!I10),Datos!I10," - ")</f>
        <v>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52</v>
      </c>
      <c r="AG10" s="334"/>
      <c r="AH10" s="334"/>
      <c r="AI10" s="334"/>
      <c r="AJ10" s="334"/>
      <c r="AK10" s="334"/>
      <c r="AL10" s="479"/>
      <c r="AM10" s="335">
        <f>IF(ISNUMBER(Datos!R10),Datos!R10," - ")</f>
        <v>103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3</v>
      </c>
      <c r="BE10" s="229" t="str">
        <f>IF(ISNUMBER(Datos!BW10),Datos!BW10," - ")</f>
        <v xml:space="preserve"> - </v>
      </c>
      <c r="BF10" s="228" t="str">
        <f>IF(ISNUMBER(Datos!BX10),Datos!BX10," - ")</f>
        <v xml:space="preserve"> - </v>
      </c>
      <c r="BG10" s="243">
        <f>IF(ISNUMBER(Datos!K10/Datos!J10),Datos!K10/Datos!J10," - ")</f>
        <v>1.0625</v>
      </c>
      <c r="BH10" s="260">
        <f>IF(ISNUMBER(((Datos!L10/Datos!K10)*11)/factor_trimestre),((Datos!L10/Datos!K10)*11)/factor_trimestre," - ")</f>
        <v>9.1764705882352935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5.1020408163265307E-2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176</v>
      </c>
      <c r="O12" s="334"/>
      <c r="P12" s="334"/>
      <c r="Q12" s="226">
        <f>IF(ISNUMBER(Datos!P12),Datos!P12,0)</f>
        <v>265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7688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363</v>
      </c>
      <c r="BD12" s="229">
        <f>IF(ISNUMBER(Datos!N12),Datos!N12," - ")</f>
        <v>819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1.0842175066312998</v>
      </c>
      <c r="BH12" s="260">
        <f>IF(ISNUMBER(((IF(J_V="SI",Datos!L12/Datos!K12,(Datos!L12+Datos!AB12)/(Datos!K12+Datos!AA12)))*11)/factor_trimestre),((IF(J_V="SI",Datos!L12/Datos!K12,(Datos!L12+Datos!AB12)/(Datos!K12+Datos!AA12)))*11)/factor_trimestre," - ")</f>
        <v>8.7412844036697255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1.0515247108307046E-2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53</v>
      </c>
      <c r="G13" s="898">
        <f t="shared" si="0"/>
        <v>53</v>
      </c>
      <c r="H13" s="899">
        <f t="shared" si="0"/>
        <v>0</v>
      </c>
      <c r="I13" s="898">
        <f t="shared" si="0"/>
        <v>0</v>
      </c>
      <c r="J13" s="867">
        <f t="shared" si="0"/>
        <v>0</v>
      </c>
      <c r="K13" s="867">
        <f t="shared" si="0"/>
        <v>0</v>
      </c>
      <c r="L13" s="899">
        <f t="shared" si="0"/>
        <v>0</v>
      </c>
      <c r="M13" s="899">
        <f t="shared" si="0"/>
        <v>0</v>
      </c>
      <c r="N13" s="899">
        <f t="shared" si="0"/>
        <v>176</v>
      </c>
      <c r="O13" s="900">
        <f t="shared" si="0"/>
        <v>0</v>
      </c>
      <c r="P13" s="900">
        <f t="shared" si="0"/>
        <v>0</v>
      </c>
      <c r="Q13" s="899">
        <f t="shared" si="0"/>
        <v>270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185</v>
      </c>
      <c r="AD13" s="899">
        <f t="shared" si="1"/>
        <v>0</v>
      </c>
      <c r="AE13" s="899">
        <f t="shared" si="1"/>
        <v>0</v>
      </c>
      <c r="AF13" s="899">
        <f t="shared" si="1"/>
        <v>52</v>
      </c>
      <c r="AG13" s="899">
        <f t="shared" si="1"/>
        <v>0</v>
      </c>
      <c r="AH13" s="899">
        <f t="shared" si="1"/>
        <v>51</v>
      </c>
      <c r="AI13" s="899">
        <f t="shared" si="1"/>
        <v>0</v>
      </c>
      <c r="AJ13" s="899">
        <f t="shared" si="1"/>
        <v>0</v>
      </c>
      <c r="AK13" s="899">
        <f t="shared" si="1"/>
        <v>0</v>
      </c>
      <c r="AL13" s="899">
        <f t="shared" si="1"/>
        <v>0</v>
      </c>
      <c r="AM13" s="899">
        <f t="shared" si="1"/>
        <v>7791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373</v>
      </c>
      <c r="BD13" s="899">
        <f t="shared" si="1"/>
        <v>822</v>
      </c>
      <c r="BE13" s="899">
        <f t="shared" si="1"/>
        <v>0</v>
      </c>
      <c r="BF13" s="899">
        <f t="shared" si="1"/>
        <v>0</v>
      </c>
      <c r="BG13" s="899">
        <f>IF(ISNUMBER(Datos!K13/Datos!J13),Datos!K13/Datos!J13," - ")</f>
        <v>1.0890207715133531</v>
      </c>
      <c r="BH13" s="903">
        <f>IF(ISNUMBER(((Datos!L13/Datos!K13)*11)/factor_trimestre),((Datos!L13/Datos!K13)*11)/factor_trimestre," - ")</f>
        <v>9.7377384196185286</v>
      </c>
      <c r="BI13" s="899">
        <f>IF(ISNUMBER('Resol  Asuntos'!D13/NºAsuntos!G13),'Resol  Asuntos'!D13/NºAsuntos!G13," - ")</f>
        <v>0.22578692493946731</v>
      </c>
      <c r="BJ13" s="899" t="str">
        <f>IF(ISNUMBER(Datos!CI13/Datos!CJ13),Datos!CI13/Datos!CJ13," - ")</f>
        <v xml:space="preserve"> - </v>
      </c>
      <c r="BK13" s="899">
        <f>SUBTOTAL(9,BK8:BK12)</f>
        <v>0</v>
      </c>
      <c r="BL13" s="899">
        <f>IF(ISNUMBER((I13-AB13+L13)/(F13)),(I13-AB13+L13)/(F13)," - ")</f>
        <v>-0.32075471698113206</v>
      </c>
      <c r="BM13" s="904">
        <f>SUBTOTAL(9,BM9:BM12)</f>
        <v>6.1535655271572356E-2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1759</v>
      </c>
      <c r="G16" s="598">
        <f>IF(ISNUMBER(IF(D_I="SI",Datos!I16,Datos!I16+Datos!AC16)),IF(D_I="SI",Datos!I16,Datos!I16+Datos!AC16)," - ")</f>
        <v>1748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1419</v>
      </c>
      <c r="AC16" s="226">
        <f>IF(ISNUMBER(Datos!Q16),Datos!Q16," - ")</f>
        <v>49</v>
      </c>
      <c r="AD16" s="334"/>
      <c r="AE16" s="484"/>
      <c r="AF16" s="596">
        <f>IF(ISNUMBER(IF(D_I="SI",Datos!L16,Datos!L16+Datos!AF16)),IF(D_I="SI",Datos!L16,Datos!L16+Datos!AF16)," - ")</f>
        <v>1863</v>
      </c>
      <c r="AG16" s="334"/>
      <c r="AH16" s="334"/>
      <c r="AI16" s="334"/>
      <c r="AJ16" s="334"/>
      <c r="AK16" s="334"/>
      <c r="AL16" s="479"/>
      <c r="AM16" s="335">
        <f>IF(ISNUMBER(Datos!R16),Datos!R16," - ")</f>
        <v>500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183</v>
      </c>
      <c r="BD16" s="229">
        <f>IF(ISNUMBER(Datos!N16),Datos!N16," - ")</f>
        <v>878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0.93171372291529875</v>
      </c>
      <c r="BH16" s="260">
        <f>IF(ISNUMBER(((IF(D_I="SI",Datos!L16/Datos!K16,(Datos!L16+Datos!AF16)/(Datos!K16+Datos!AE16)))*11)/factor_trimestre),((IF(D_I="SI",Datos!L16/Datos!K16,(Datos!L16+Datos!AF16)/(Datos!K16+Datos!AE16)))*11)/factor_trimestre," - ")</f>
        <v>3.9386892177589852</v>
      </c>
      <c r="BI16" s="243">
        <f>IF(ISNUMBER('Resol  Asuntos'!D16/NºAsuntos!G16),'Resol  Asuntos'!D16/NºAsuntos!G16," - ")</f>
        <v>0.12896405919661733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191</v>
      </c>
      <c r="AC17" s="226">
        <f>IF(ISNUMBER(Datos!Q17),Datos!Q17," - ")</f>
        <v>1</v>
      </c>
      <c r="AD17" s="334"/>
      <c r="AE17" s="484"/>
      <c r="AF17" s="332">
        <f>IF(ISNUMBER(Datos!L17),Datos!L17,"-")</f>
        <v>161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1.0324324324324323</v>
      </c>
      <c r="BH17" s="260">
        <f>IF(ISNUMBER(((IF(D_I="SI",Datos!L17/Datos!K17,(Datos!L17+Datos!AF17)/(Datos!K17+Datos!AE17)))*11)/factor_trimestre),((IF(D_I="SI",Datos!L17/Datos!K17,(Datos!L17+Datos!AF17)/(Datos!K17+Datos!AE17)))*11)/factor_trimestre," - ")</f>
        <v>2.5287958115183247</v>
      </c>
      <c r="BI17" s="243">
        <f>IF(ISNUMBER('Resol  Asuntos'!D17/NºAsuntos!G17),'Resol  Asuntos'!D17/NºAsuntos!G17," - ")</f>
        <v>8.9005235602094238E-2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1759</v>
      </c>
      <c r="G18" s="898">
        <f>SUBTOTAL(9,G15:G17)</f>
        <v>1915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1610</v>
      </c>
      <c r="AC18" s="899">
        <f t="shared" si="4"/>
        <v>50</v>
      </c>
      <c r="AD18" s="899">
        <f t="shared" si="4"/>
        <v>0</v>
      </c>
      <c r="AE18" s="899">
        <f t="shared" si="4"/>
        <v>0</v>
      </c>
      <c r="AF18" s="899">
        <f t="shared" si="4"/>
        <v>2024</v>
      </c>
      <c r="AG18" s="899">
        <f t="shared" si="4"/>
        <v>0</v>
      </c>
      <c r="AH18" s="899">
        <f t="shared" si="4"/>
        <v>0</v>
      </c>
      <c r="AI18" s="899">
        <f t="shared" si="4"/>
        <v>0</v>
      </c>
      <c r="AJ18" s="899">
        <f t="shared" si="4"/>
        <v>0</v>
      </c>
      <c r="AK18" s="899">
        <f t="shared" si="4"/>
        <v>0</v>
      </c>
      <c r="AL18" s="899">
        <f t="shared" si="4"/>
        <v>0</v>
      </c>
      <c r="AM18" s="899">
        <f t="shared" si="4"/>
        <v>505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200</v>
      </c>
      <c r="BD18" s="899">
        <f t="shared" si="4"/>
        <v>979</v>
      </c>
      <c r="BE18" s="899">
        <f t="shared" si="4"/>
        <v>0</v>
      </c>
      <c r="BF18" s="899">
        <f t="shared" si="4"/>
        <v>0</v>
      </c>
      <c r="BG18" s="899">
        <f>IF(ISNUMBER(Datos!K18/Datos!J18),Datos!K18/Datos!J18," - ")</f>
        <v>0.94262295081967218</v>
      </c>
      <c r="BH18" s="903">
        <f>IF(ISNUMBER(((Datos!L18/Datos!K18)*11)/factor_trimestre),((Datos!L18/Datos!K18)*11)/factor_trimestre," - ")</f>
        <v>3.7714285714285718</v>
      </c>
      <c r="BI18" s="899">
        <f>SUBTOTAL(9,BI15:BI17)</f>
        <v>0.21796929479871158</v>
      </c>
      <c r="BJ18" s="899">
        <f>SUBTOTAL(9,BJ15:BJ17)</f>
        <v>0</v>
      </c>
      <c r="BK18" s="899">
        <f>SUBTOTAL(9,BK15:BK17)</f>
        <v>0</v>
      </c>
      <c r="BL18" s="899">
        <f>IF(ISNUMBER((I18-AB18+L18)/(F18)),(I18-AB18+L18)/(F18)," - ")</f>
        <v>-0.9152927799886299</v>
      </c>
      <c r="BM18" s="905">
        <f>IF(ISNUMBER((Datos!P18-Datos!Q18)/(Datos!R18-Datos!P18+Datos!Q18)),(Datos!P18-Datos!Q18)/(Datos!R18-Datos!P18+Datos!Q18)," - ")</f>
        <v>3.0612244897959183E-2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1812</v>
      </c>
      <c r="G19" s="820">
        <f t="shared" si="6"/>
        <v>1968</v>
      </c>
      <c r="H19" s="822">
        <f t="shared" si="6"/>
        <v>0</v>
      </c>
      <c r="I19" s="820">
        <f t="shared" si="6"/>
        <v>0</v>
      </c>
      <c r="J19" s="822">
        <f t="shared" si="6"/>
        <v>0</v>
      </c>
      <c r="K19" s="822">
        <f t="shared" si="6"/>
        <v>0</v>
      </c>
      <c r="L19" s="881">
        <f t="shared" si="6"/>
        <v>0</v>
      </c>
      <c r="M19" s="881">
        <f t="shared" si="6"/>
        <v>0</v>
      </c>
      <c r="N19" s="881">
        <f t="shared" si="6"/>
        <v>176</v>
      </c>
      <c r="O19" s="881">
        <f t="shared" si="6"/>
        <v>0</v>
      </c>
      <c r="P19" s="881">
        <f t="shared" si="6"/>
        <v>0</v>
      </c>
      <c r="Q19" s="822">
        <f t="shared" si="6"/>
        <v>335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1627</v>
      </c>
      <c r="AC19" s="821">
        <f t="shared" si="7"/>
        <v>235</v>
      </c>
      <c r="AD19" s="821">
        <f t="shared" si="7"/>
        <v>0</v>
      </c>
      <c r="AE19" s="821">
        <f t="shared" si="7"/>
        <v>0</v>
      </c>
      <c r="AF19" s="828">
        <f t="shared" si="7"/>
        <v>2076</v>
      </c>
      <c r="AG19" s="828">
        <f t="shared" si="7"/>
        <v>0</v>
      </c>
      <c r="AH19" s="828">
        <f t="shared" si="7"/>
        <v>51</v>
      </c>
      <c r="AI19" s="828">
        <f t="shared" si="7"/>
        <v>0</v>
      </c>
      <c r="AJ19" s="821">
        <f t="shared" si="7"/>
        <v>0</v>
      </c>
      <c r="AK19" s="828">
        <f t="shared" si="7"/>
        <v>0</v>
      </c>
      <c r="AL19" s="828">
        <f t="shared" si="7"/>
        <v>0</v>
      </c>
      <c r="AM19" s="828">
        <f t="shared" si="7"/>
        <v>8296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573</v>
      </c>
      <c r="BD19" s="820">
        <f t="shared" si="7"/>
        <v>1801</v>
      </c>
      <c r="BE19" s="820">
        <f t="shared" si="7"/>
        <v>0</v>
      </c>
      <c r="BF19" s="830">
        <f t="shared" si="7"/>
        <v>0</v>
      </c>
      <c r="BG19" s="915">
        <f>IF(ISNUMBER(Datos!K19/Datos!J19),Datos!K19/Datos!J19," - ")</f>
        <v>1.0071989528795811</v>
      </c>
      <c r="BH19" s="915">
        <f>IF(ISNUMBER(((Datos!L19/Datos!K19)*11)/factor_trimestre),((Datos!L19/Datos!K19)*11)/factor_trimestre," - ")</f>
        <v>6.616959064327486</v>
      </c>
      <c r="BI19" s="813">
        <f>IF(ISNUMBER(Datos!J19/Datos!I19),Datos!J19/Datos!I19," - ")</f>
        <v>0.45334520100875242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-0.89790286975717437</v>
      </c>
      <c r="BM19" s="889">
        <f>IF(ISNUMBER((Datos!P19-Datos!Q19+R19)/(Datos!R19-Datos!P19+Datos!Q19-R19)),(Datos!P19-Datos!Q19+R19)/(Datos!R19-Datos!P19+Datos!Q19-R19)," - ")</f>
        <v>1.2201073694485115E-2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984.95955923750159</v>
      </c>
      <c r="G21" s="552">
        <f>IF(ISNUMBER(STDEV(G8:G18)),STDEV(G8:G18),"-")</f>
        <v>956.27098669780833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794.51507222959583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158.67577004697347</v>
      </c>
      <c r="BD21" s="551"/>
      <c r="BE21" s="551">
        <f>IF(ISNUMBER(STDEV(BE8:BE18)),STDEV(BE8:BE18),"-")</f>
        <v>0</v>
      </c>
      <c r="BF21" s="556">
        <f>IF(ISNUMBER(STDEV(BF8:BF18)),STDEV(BF8:BF18),"-")</f>
        <v>0</v>
      </c>
      <c r="BG21" s="775">
        <f>IF(ISNUMBER(STDEV(BG8:BG18)),STDEV(BG8:BG18),"-")</f>
        <v>7.0065418723261191E-2</v>
      </c>
      <c r="BH21" s="776">
        <f>IF(ISNUMBER(STDEV(BH8:BH18)),STDEV(BH8:BH18),"-")</f>
        <v>3.2323971194738994</v>
      </c>
      <c r="BI21" s="249">
        <f>IF(ISNUMBER(STDEV(BI8:BI18)),STDEV(BI8:BI18),"-")</f>
        <v>6.7265259310789111E-2</v>
      </c>
      <c r="BJ21" s="230" t="str">
        <f>IF(ISNUMBER(BL21/BM21),BL21/BM21," - ")</f>
        <v xml:space="preserve"> - </v>
      </c>
      <c r="BK21" s="575"/>
      <c r="BL21" s="559">
        <f>IF(ISNUMBER(STDEV(BL8:BL18)),STDEV(BL8:BL18),"-")</f>
        <v>0.42040189602611666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hbf15iIwfvhqau5HRFaBtoq2hd8OLq9AU8NUQ1AyvDRyBvD6xd8vQcqqA9WWqHNEIgDlYFtOEfdBGXD2lC1tA==" saltValue="SSSTIEToEULAnOzQYhvn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SANTA COLOMA DE GRAMENET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53</v>
      </c>
      <c r="G10" s="225">
        <f>IF(ISNUMBER(Datos!I10),Datos!I10," - ")</f>
        <v>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52</v>
      </c>
      <c r="AB10" s="334"/>
      <c r="AC10" s="334"/>
      <c r="AD10" s="484"/>
      <c r="AE10" s="484">
        <f>IF(ISNUMBER(Datos!R10),Datos!R10," - ")</f>
        <v>103</v>
      </c>
      <c r="AF10" s="229" t="str">
        <f>IF(ISNUMBER(Datos!BV10),Datos!BV10," - ")</f>
        <v xml:space="preserve"> - </v>
      </c>
      <c r="AG10" s="225" t="str">
        <f>IF(ISNUMBER(Datos!DV10),Datos!DV10," - ")</f>
        <v xml:space="preserve"> - </v>
      </c>
      <c r="AH10" s="298"/>
      <c r="AI10" s="227"/>
      <c r="AJ10" s="225">
        <f>IF(ISNUMBER(Datos!M10),Datos!M10," - ")</f>
        <v>10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9.1764705882352935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5.1020408163265307E-2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185</v>
      </c>
      <c r="AA12" s="332" t="str">
        <f>IF(ISNUMBER(IF(J_V="SI",Datos!L12,Datos!L12+Datos!AB12)-IF(Monitorios="SI",Datos!CD12,0)),
                          IF(J_V="SI",Datos!L12,Datos!L12+Datos!AB12)-IF(Monitorios="SI",Datos!CD12,0),
                          " - ")</f>
        <v xml:space="preserve"> - </v>
      </c>
      <c r="AB12" s="334"/>
      <c r="AC12" s="334"/>
      <c r="AD12" s="484"/>
      <c r="AE12" s="484">
        <f>IF(ISNUMBER(Datos!R12),Datos!R12," - ")</f>
        <v>7688</v>
      </c>
      <c r="AF12" s="229" t="str">
        <f>IF(ISNUMBER(Datos!BV12),Datos!BV12," - ")</f>
        <v xml:space="preserve"> - </v>
      </c>
      <c r="AG12" s="225" t="str">
        <f>IF(ISNUMBER(Datos!DV12),Datos!DV12," - ")</f>
        <v xml:space="preserve"> - </v>
      </c>
      <c r="AH12" s="298"/>
      <c r="AI12" s="227"/>
      <c r="AJ12" s="225">
        <f>IF(ISNUMBER(Datos!M12),Datos!M12," - ")</f>
        <v>363</v>
      </c>
      <c r="AK12" s="229">
        <f>IF(ISNUMBER(Datos!N12),Datos!N12," - ")</f>
        <v>819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8.7412844036697255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1.0515247108307046E-2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53</v>
      </c>
      <c r="G13" s="898">
        <f>SUBTOTAL(9,G8:G12)</f>
        <v>53</v>
      </c>
      <c r="H13" s="908"/>
      <c r="I13" s="898">
        <f t="shared" ref="I13:N13" si="0">SUBTOTAL(9,I8:I12)</f>
        <v>0</v>
      </c>
      <c r="J13" s="867">
        <f t="shared" si="0"/>
        <v>0</v>
      </c>
      <c r="K13" s="908">
        <f t="shared" si="0"/>
        <v>0</v>
      </c>
      <c r="L13" s="908">
        <f t="shared" si="0"/>
        <v>0</v>
      </c>
      <c r="M13" s="908">
        <f t="shared" si="0"/>
        <v>0</v>
      </c>
      <c r="N13" s="908">
        <f t="shared" si="0"/>
        <v>270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185</v>
      </c>
      <c r="AA13" s="900">
        <f t="shared" si="2"/>
        <v>52</v>
      </c>
      <c r="AB13" s="900">
        <f t="shared" si="2"/>
        <v>0</v>
      </c>
      <c r="AC13" s="900">
        <f t="shared" si="2"/>
        <v>0</v>
      </c>
      <c r="AD13" s="900">
        <f t="shared" si="2"/>
        <v>0</v>
      </c>
      <c r="AE13" s="900">
        <f t="shared" si="2"/>
        <v>7791</v>
      </c>
      <c r="AF13" s="908">
        <f t="shared" si="2"/>
        <v>0</v>
      </c>
      <c r="AG13" s="908">
        <f t="shared" si="2"/>
        <v>0</v>
      </c>
      <c r="AH13" s="908">
        <f t="shared" si="2"/>
        <v>0</v>
      </c>
      <c r="AI13" s="908">
        <f t="shared" si="2"/>
        <v>0</v>
      </c>
      <c r="AJ13" s="908">
        <f t="shared" si="2"/>
        <v>373</v>
      </c>
      <c r="AK13" s="908">
        <f t="shared" si="2"/>
        <v>822</v>
      </c>
      <c r="AL13" s="908">
        <f t="shared" si="2"/>
        <v>0</v>
      </c>
      <c r="AM13" s="908">
        <f t="shared" si="2"/>
        <v>0</v>
      </c>
      <c r="AN13" s="908">
        <f t="shared" si="2"/>
        <v>0</v>
      </c>
      <c r="AO13" s="904">
        <f>IF(ISNUMBER(((NºAsuntos!I13/NºAsuntos!G13)*11)/factor_trimestre),((NºAsuntos!I13/NºAsuntos!G13)*11)/factor_trimestre," - ")</f>
        <v>8.7457627118644066</v>
      </c>
      <c r="AP13" s="910" t="str">
        <f>IF(ISNUMBER(Datos!CI13/Datos!CJ13),Datos!CI13/Datos!CJ13," - ")</f>
        <v xml:space="preserve"> - </v>
      </c>
      <c r="AQ13" s="928">
        <f t="shared" ref="AQ13:AV13" si="3">SUBTOTAL(9,AQ9:AQ12)</f>
        <v>0</v>
      </c>
      <c r="AR13" s="928">
        <f t="shared" si="3"/>
        <v>6.1535655271572356E-2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1759</v>
      </c>
      <c r="G16" s="225">
        <f>IF(ISNUMBER(IF(D_I="SI",Datos!I16,Datos!I16+Datos!AC16)),IF(D_I="SI",Datos!I16,Datos!I16+Datos!AC16)," - ")</f>
        <v>1748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1419</v>
      </c>
      <c r="Z16" s="619">
        <f>IF(ISNUMBER(Datos!Q16),Datos!Q16," - ")</f>
        <v>49</v>
      </c>
      <c r="AA16" s="332">
        <f>IF(ISNUMBER(IF(D_I="SI",Datos!L16,Datos!L16+Datos!AF16)),IF(D_I="SI",Datos!L16,Datos!L16+Datos!AF16)," - ")</f>
        <v>1863</v>
      </c>
      <c r="AB16" s="334"/>
      <c r="AC16" s="334"/>
      <c r="AD16" s="484"/>
      <c r="AE16" s="484">
        <f>IF(ISNUMBER(Datos!R16),Datos!R16," - ")</f>
        <v>500</v>
      </c>
      <c r="AF16" s="229" t="str">
        <f>IF(ISNUMBER(Datos!BV16),Datos!BV16," - ")</f>
        <v xml:space="preserve"> - </v>
      </c>
      <c r="AG16" s="225"/>
      <c r="AH16" s="298"/>
      <c r="AI16" s="227"/>
      <c r="AJ16" s="225">
        <f>IF(ISNUMBER(Datos!M16),Datos!M16," - ")</f>
        <v>183</v>
      </c>
      <c r="AK16" s="229">
        <f>IF(ISNUMBER(Datos!N16),Datos!N16," - ")</f>
        <v>878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3.9386892177589852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191</v>
      </c>
      <c r="Z17" s="619">
        <f>IF(ISNUMBER(Datos!Q17),Datos!Q17," - ")</f>
        <v>1</v>
      </c>
      <c r="AA17" s="332">
        <f>IF(ISNUMBER(Datos!L17),Datos!L17,"-")</f>
        <v>161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17</v>
      </c>
      <c r="AK17" s="229">
        <f>IF(ISNUMBER(Datos!N17),Datos!N17," - ")</f>
        <v>101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2.5287958115183247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1759</v>
      </c>
      <c r="G18" s="898">
        <f>SUBTOTAL(9,G15:G17)</f>
        <v>1915</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1610</v>
      </c>
      <c r="Z18" s="932">
        <f t="shared" si="5"/>
        <v>50</v>
      </c>
      <c r="AA18" s="932">
        <f t="shared" si="5"/>
        <v>2024</v>
      </c>
      <c r="AB18" s="932">
        <f t="shared" si="5"/>
        <v>0</v>
      </c>
      <c r="AC18" s="932">
        <f t="shared" si="5"/>
        <v>0</v>
      </c>
      <c r="AD18" s="932">
        <f t="shared" si="5"/>
        <v>0</v>
      </c>
      <c r="AE18" s="932">
        <f t="shared" si="5"/>
        <v>505</v>
      </c>
      <c r="AF18" s="932">
        <f t="shared" si="5"/>
        <v>0</v>
      </c>
      <c r="AG18" s="932">
        <f t="shared" si="5"/>
        <v>0</v>
      </c>
      <c r="AH18" s="932">
        <f t="shared" si="5"/>
        <v>0</v>
      </c>
      <c r="AI18" s="932">
        <f t="shared" si="5"/>
        <v>0</v>
      </c>
      <c r="AJ18" s="932">
        <f t="shared" si="5"/>
        <v>200</v>
      </c>
      <c r="AK18" s="932">
        <f t="shared" si="5"/>
        <v>979</v>
      </c>
      <c r="AL18" s="932">
        <f t="shared" si="5"/>
        <v>0</v>
      </c>
      <c r="AM18" s="932">
        <f t="shared" si="5"/>
        <v>0</v>
      </c>
      <c r="AN18" s="932">
        <f t="shared" si="5"/>
        <v>0</v>
      </c>
      <c r="AO18" s="934">
        <f>IF(ISNUMBER(((NºAsuntos!I18/NºAsuntos!G18)*11)/factor_trimestre),((NºAsuntos!I18/NºAsuntos!G18)*11)/factor_trimestre," - ")</f>
        <v>3.7714285714285718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1812</v>
      </c>
      <c r="G19" s="820">
        <f t="shared" si="7"/>
        <v>1968</v>
      </c>
      <c r="H19" s="821">
        <f t="shared" si="7"/>
        <v>0</v>
      </c>
      <c r="I19" s="820">
        <f t="shared" si="7"/>
        <v>0</v>
      </c>
      <c r="J19" s="822">
        <f t="shared" si="7"/>
        <v>0</v>
      </c>
      <c r="K19" s="820">
        <f t="shared" si="7"/>
        <v>0</v>
      </c>
      <c r="L19" s="823">
        <f t="shared" si="7"/>
        <v>0</v>
      </c>
      <c r="M19" s="820">
        <f t="shared" si="7"/>
        <v>0</v>
      </c>
      <c r="N19" s="821">
        <f t="shared" si="7"/>
        <v>335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1627</v>
      </c>
      <c r="Z19" s="827">
        <f t="shared" si="8"/>
        <v>235</v>
      </c>
      <c r="AA19" s="828">
        <f t="shared" si="8"/>
        <v>2076</v>
      </c>
      <c r="AB19" s="828">
        <f t="shared" si="8"/>
        <v>0</v>
      </c>
      <c r="AC19" s="828">
        <f t="shared" si="8"/>
        <v>0</v>
      </c>
      <c r="AD19" s="829">
        <f t="shared" si="8"/>
        <v>0</v>
      </c>
      <c r="AE19" s="829">
        <f t="shared" si="8"/>
        <v>8296</v>
      </c>
      <c r="AF19" s="830">
        <f t="shared" si="8"/>
        <v>0</v>
      </c>
      <c r="AG19" s="831">
        <f t="shared" si="8"/>
        <v>0</v>
      </c>
      <c r="AH19" s="832">
        <f t="shared" si="8"/>
        <v>0</v>
      </c>
      <c r="AI19" s="830">
        <f t="shared" si="8"/>
        <v>0</v>
      </c>
      <c r="AJ19" s="820">
        <f t="shared" si="8"/>
        <v>573</v>
      </c>
      <c r="AK19" s="820">
        <f t="shared" si="8"/>
        <v>1801</v>
      </c>
      <c r="AL19" s="820">
        <f t="shared" si="8"/>
        <v>0</v>
      </c>
      <c r="AM19" s="833">
        <f t="shared" si="8"/>
        <v>0</v>
      </c>
      <c r="AN19" s="823">
        <f>IF(ISNUMBER(Datos!K19/Datos!J19),Datos!K19/Datos!J19," - ")</f>
        <v>1.0071989528795811</v>
      </c>
      <c r="AO19" s="823">
        <f>IF(ISNUMBER(FIND("06",Criterios!A8,1)),(IF(ISNUMBER(((Datos!R19/Datos!Q19)*11)/factor_trimestre),((Datos!R19/Datos!Q19)*11)/factor_trimestre," - ")),(IF(ISNUMBER(((Datos!L19/Datos!K19)*11)/factor_trimestre),((Datos!L19/Datos!K19)*11)/factor_trimestre," - ")))</f>
        <v>6.616959064327486</v>
      </c>
      <c r="AP19" s="834" t="str">
        <f>IF(ISNUMBER(Datos!CI19/Datos!CJ19),Datos!CI19/Datos!CJ19," - ")</f>
        <v xml:space="preserve"> - </v>
      </c>
      <c r="AQ19" s="834">
        <f>IF(OR(ISNUMBER(FIND("01",Criterios!A8,1)),ISNUMBER(FIND("02",Criterios!A8,1)),ISNUMBER(FIND("03",Criterios!A8,1)),ISNUMBER(FIND("04",Criterios!A8,1))),(J19-Y19+K19)/(F19-K19),(I19-Y19+K19)/(F19-K19))</f>
        <v>-0.89790286975717437</v>
      </c>
      <c r="AR19" s="834">
        <f>IF(ISNUMBER((Datos!P19-Datos!Q19+O19)/(Datos!R19-Datos!P19+Datos!Q19-O19)),(Datos!P19-Datos!Q19+O19)/(Datos!R19-Datos!P19+Datos!Q19-O19)," - ")</f>
        <v>1.2201073694485115E-2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984.95955923750159</v>
      </c>
      <c r="G21" s="552">
        <f>IF(ISNUMBER(STDEV(G8:G18)),STDEV(G8:G18),"-")</f>
        <v>956.27098669780833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158.67577004697347</v>
      </c>
      <c r="AK21" s="252"/>
      <c r="AL21" s="252">
        <f>IF(ISNUMBER(STDEV(AL8:AL18)),STDEV(AL8:AL18),"-")</f>
        <v>0</v>
      </c>
      <c r="AM21" s="254">
        <f>IF(ISNUMBER(STDEV(AM8:AM18)),STDEV(AM8:AM18),"-")</f>
        <v>0</v>
      </c>
      <c r="AN21" s="539">
        <f>IF(ISNUMBER(STDEV(AN8:AN18)),STDEV(AN8:AN18),"-")</f>
        <v>0</v>
      </c>
      <c r="AO21" s="540">
        <f>IF(ISNUMBER(STDEV(AO8:AO18)),STDEV(AO8:AO18),"-")</f>
        <v>3.0421334403475093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BEIdCRK612NcE0mkRED/wnjvuefqdM2BayiPhT3Karg+jYhTuUbeSkAAr+MvauJmxNO5NShltlJrFq0+IavZw==" saltValue="f1cSGW5f2TS3EN9GIJLF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wcyDi2SknOCbJqHXTtlNb08THGhdXkDmqFgYzZ1WSqn4l1D7QSHIR3avYVc/QZ3+/I/Kb4/293s5s/KUb4uLw==" saltValue="vIQYFZGSgM6PK4KedrtQ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EyPaJrpGlJnopveiMmJqoEkdUOt6lPLrjtqtHA5QL+ls1xWwNnLE8MlkoMJ5smbPSIqb8VteLJwTR72searw==" saltValue="fnO3f9GC+E48qnONEh8v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0.22578692493946731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0.15965546572795536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0kH2j13UaNHEu/kBM1nICwKlNPqejFpJCQXA+lR4YGVhy2XvtiFfYhncpUDDer7QjuZleG4uRuhoH7bIj/9kA==" saltValue="AFrCjQXkHBZLdKlPJaO62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bl3mTAMKin1IFccDDaFNGgGbMlzzWxRe3Vi5PCL/G6rVzCE4pHbqzSepFeb7LZkCQy1RPgOPhvbWfmrKUPRhg==" saltValue="4WXPuesH8/aSV/036g79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SANTA COLOMA DE GRAMENET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53</v>
      </c>
      <c r="D10" s="404">
        <f>IF(ISNUMBER(C10/Datos!BH10),C10/Datos!BH10," - ")</f>
        <v>53</v>
      </c>
      <c r="E10" s="403">
        <f>IF(ISNUMBER(Datos!J10),Datos!J10," - ")</f>
        <v>16</v>
      </c>
      <c r="F10" s="404">
        <f>IF(ISNUMBER(E10/B10),E10/B10," - ")</f>
        <v>16</v>
      </c>
      <c r="G10" s="403">
        <f>IF(ISNUMBER(Datos!K10),Datos!K10," - ")</f>
        <v>17</v>
      </c>
      <c r="H10" s="404">
        <f>IF(ISNUMBER(G10/B10),G10/B10," - ")</f>
        <v>17</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4832</v>
      </c>
      <c r="D12" s="404">
        <f>IF(ISNUMBER(C12/Datos!BH12),C12/Datos!BH12," - ")</f>
        <v>805.33333333333337</v>
      </c>
      <c r="E12" s="403">
        <f>IF(ISNUMBER(IF(J_V="SI",Datos!J12,Datos!J12+Datos!Z12)),IF(J_V="SI",Datos!J12,Datos!J12+Datos!Z12)," - ")</f>
        <v>1508</v>
      </c>
      <c r="F12" s="404">
        <f>IF(ISNUMBER(E12/B12),E12/B12," - ")</f>
        <v>251.33333333333334</v>
      </c>
      <c r="G12" s="403">
        <f>IF(ISNUMBER(IF(J_V="SI",Datos!K12,Datos!K12+Datos!AA12)),IF(J_V="SI",Datos!K12,Datos!K12+Datos!AA12)," - ")</f>
        <v>1635</v>
      </c>
      <c r="H12" s="404">
        <f>IF(ISNUMBER(G12/B12),G12/B12," - ")</f>
        <v>272.5</v>
      </c>
      <c r="I12" s="403">
        <f>IF(ISNUMBER(IF(J_V="SI",Datos!L12,Datos!L12+Datos!AB12)),IF(J_V="SI",Datos!L12,Datos!L12+Datos!AB12)," - ")</f>
        <v>4764</v>
      </c>
      <c r="J12" s="404">
        <f>IF(ISNUMBER(I12/B12),I12/B12," - ")</f>
        <v>794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4885</v>
      </c>
      <c r="D13" s="850" t="str">
        <f>IF(ISNUMBER(C13/Datos!BI13),C13/Datos!BI13," - ")</f>
        <v xml:space="preserve"> - </v>
      </c>
      <c r="E13" s="849">
        <f>SUBTOTAL(9,E8:E12)</f>
        <v>1524</v>
      </c>
      <c r="F13" s="850">
        <f>IF(ISNUMBER(E13/B13),E13/B13," - ")</f>
        <v>254</v>
      </c>
      <c r="G13" s="849">
        <f>SUBTOTAL(9,G8:G12)</f>
        <v>1652</v>
      </c>
      <c r="H13" s="850">
        <f>IF(ISNUMBER(G13/B13),G13/B13," - ")</f>
        <v>275.33333333333331</v>
      </c>
      <c r="I13" s="849">
        <f>SUBTOTAL(9,I8:I12)</f>
        <v>4816</v>
      </c>
      <c r="J13" s="850">
        <f>IF(ISNUMBER(I13/B13),I13/B13," - ")</f>
        <v>802.66666666666663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1748</v>
      </c>
      <c r="D16" s="404">
        <f>IF(ISNUMBER(C16/Datos!BH16),C16/Datos!BH16," - ")</f>
        <v>291.33333333333331</v>
      </c>
      <c r="E16" s="403">
        <f>IF(ISNUMBER(IF(D_I="SI",Datos!J16,Datos!J16+Datos!AD16)),IF(D_I="SI",Datos!J16,Datos!J16+Datos!AD16)," - ")</f>
        <v>1523</v>
      </c>
      <c r="F16" s="404">
        <f>IF(ISNUMBER(E16/B16),E16/B16," - ")</f>
        <v>253.83333333333334</v>
      </c>
      <c r="G16" s="403">
        <f>IF(ISNUMBER(IF(D_I="SI",Datos!K16,Datos!K16+Datos!AE16)),IF(D_I="SI",Datos!K16,Datos!K16+Datos!AE16)," - ")</f>
        <v>1419</v>
      </c>
      <c r="H16" s="404">
        <f>IF(ISNUMBER(G16/B16),G16/B16," - ")</f>
        <v>236.5</v>
      </c>
      <c r="I16" s="403">
        <f>IF(ISNUMBER(IF(D_I="SI",Datos!L16,Datos!L16+Datos!AF16)),IF(D_I="SI",Datos!L16,Datos!L16+Datos!AF16)," - ")</f>
        <v>1863</v>
      </c>
      <c r="J16" s="404">
        <f>IF(ISNUMBER(I16/B16),I16/B16," - ")</f>
        <v>310.5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167</v>
      </c>
      <c r="D17" s="404">
        <f>IF(ISNUMBER(C17/Datos!BH17),C17/Datos!BH17," - ")</f>
        <v>167</v>
      </c>
      <c r="E17" s="403">
        <f>IF(ISNUMBER(IF(D_I="SI",Datos!J17,Datos!J17+Datos!AD17)),IF(D_I="SI",Datos!J17,Datos!J17+Datos!AD17)," - ")</f>
        <v>185</v>
      </c>
      <c r="F17" s="404">
        <f>IF(ISNUMBER(E17/B17),E17/B17," - ")</f>
        <v>185</v>
      </c>
      <c r="G17" s="403">
        <f>IF(ISNUMBER(IF(D_I="SI",Datos!K17,Datos!K17+Datos!AE17)),IF(D_I="SI",Datos!K17,Datos!K17+Datos!AE17)," - ")</f>
        <v>191</v>
      </c>
      <c r="H17" s="404">
        <f>IF(ISNUMBER(G17/B17),G17/B17," - ")</f>
        <v>191</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1915</v>
      </c>
      <c r="D18" s="850" t="str">
        <f>IF(ISNUMBER(C18/Datos!BI18),C18/Datos!BI18," - ")</f>
        <v xml:space="preserve"> - </v>
      </c>
      <c r="E18" s="849">
        <f>SUBTOTAL(9,E14:E17)</f>
        <v>1708</v>
      </c>
      <c r="F18" s="850">
        <f>IF(ISNUMBER(E18/B18),E18/B18," - ")</f>
        <v>284.66666666666669</v>
      </c>
      <c r="G18" s="849">
        <f>SUBTOTAL(9,G14:G17)</f>
        <v>1610</v>
      </c>
      <c r="H18" s="850">
        <f>IF(ISNUMBER(G18/B18),G18/B18," - ")</f>
        <v>268.33333333333331</v>
      </c>
      <c r="I18" s="849">
        <f>SUBTOTAL(9,I14:I17)</f>
        <v>2024</v>
      </c>
      <c r="J18" s="850">
        <f>IF(ISNUMBER(I18/B18),I18/B18," - ")</f>
        <v>337.33333333333331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6800</v>
      </c>
      <c r="D19" s="795" t="str">
        <f>IF(ISNUMBER(C19/Datos!BI19),C19/Datos!BI19," - ")</f>
        <v xml:space="preserve"> - </v>
      </c>
      <c r="E19" s="794">
        <f>SUBTOTAL(9,E9:E18)</f>
        <v>3232</v>
      </c>
      <c r="F19" s="795">
        <f>IF(ISNUMBER(E19/B19),E19/B19," - ")</f>
        <v>538.66666666666663</v>
      </c>
      <c r="G19" s="794">
        <f>SUBTOTAL(9,G9:G18)</f>
        <v>3262</v>
      </c>
      <c r="H19" s="795">
        <f>IF(ISNUMBER(G19/B19),G19/B19," - ")</f>
        <v>543.66666666666663</v>
      </c>
      <c r="I19" s="794">
        <f>SUBTOTAL(9,I9:I18)</f>
        <v>6840</v>
      </c>
      <c r="J19" s="795">
        <f>IF(ISNUMBER(I19/B19),I19/B19," - ")</f>
        <v>1140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158hJ7yzOh/TEuv3pBfFolXMkq9Pr1PEUriVbylUTLgeIBIJwhcEf+v556cdGcsba/lKk8dNYk5vFh8x/UMiA==" saltValue="kA9HyjhDHRzeF6ogtDUoF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53</v>
      </c>
      <c r="G10" s="684">
        <f>IF(ISNUMBER(Datos!I10),Datos!I10," - ")</f>
        <v>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9.1764705882352935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363</v>
      </c>
      <c r="AM12" s="690">
        <f>IF(ISNUMBER(Datos!N12+DatosP!N16),Datos!N12+DatosP!N16," - ")</f>
        <v>819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8.7412844036697255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1.0515247108307046E-2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53</v>
      </c>
      <c r="G13" s="938">
        <f t="shared" si="0"/>
        <v>53</v>
      </c>
      <c r="H13" s="938">
        <f t="shared" si="0"/>
        <v>0</v>
      </c>
      <c r="I13" s="940">
        <f t="shared" si="0"/>
        <v>0</v>
      </c>
      <c r="J13" s="939">
        <f t="shared" si="0"/>
        <v>0</v>
      </c>
      <c r="K13" s="939">
        <f t="shared" si="0"/>
        <v>0</v>
      </c>
      <c r="L13" s="941">
        <f t="shared" si="0"/>
        <v>0</v>
      </c>
      <c r="M13" s="941">
        <f t="shared" si="0"/>
        <v>0</v>
      </c>
      <c r="N13" s="939">
        <f t="shared" si="0"/>
        <v>270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185</v>
      </c>
      <c r="AE13" s="939">
        <f t="shared" si="1"/>
        <v>0</v>
      </c>
      <c r="AF13" s="939">
        <f t="shared" si="1"/>
        <v>52</v>
      </c>
      <c r="AG13" s="939">
        <f t="shared" si="1"/>
        <v>0</v>
      </c>
      <c r="AH13" s="939">
        <f t="shared" si="1"/>
        <v>7688</v>
      </c>
      <c r="AI13" s="939">
        <f t="shared" si="1"/>
        <v>0</v>
      </c>
      <c r="AJ13" s="939">
        <f t="shared" si="1"/>
        <v>0</v>
      </c>
      <c r="AK13" s="939">
        <f t="shared" si="1"/>
        <v>0</v>
      </c>
      <c r="AL13" s="939">
        <f t="shared" si="1"/>
        <v>373</v>
      </c>
      <c r="AM13" s="939">
        <f t="shared" si="1"/>
        <v>822</v>
      </c>
      <c r="AN13" s="939">
        <f t="shared" si="1"/>
        <v>0</v>
      </c>
      <c r="AO13" s="939">
        <f t="shared" si="1"/>
        <v>0</v>
      </c>
      <c r="AP13" s="944">
        <f>IF(ISNUMBER(((Datos!L13/Datos!K13)*11)/factor_trimestre),((Datos!L13/Datos!K13)*11)/factor_trimestre," - ")</f>
        <v>9.7377384196185286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-0.32075471698113206</v>
      </c>
      <c r="AU13" s="939" t="str">
        <f>IF(ISNUMBER((DatosP!#REF!-DatosP!#REF!+DatosP!#REF!)/(DatosP!#REF!+DatosP!#REF!-DatosP!#REF!-DatosP!#REF!)),(DatosP!#REF!-DatosP!#REF!+DatosP!#REF!)/(DatosP!#REF!+DatosP!#REF!-DatosP!#REF!-DatosP!#REF!)," - ")</f>
        <v xml:space="preserve"> - </v>
      </c>
      <c r="AV13" s="945">
        <f>SUBTOTAL(9,AV9:AV12)</f>
        <v>1.0515247108307046E-2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3.7714285714285718</v>
      </c>
      <c r="AQ18" s="944">
        <f>IF(ISNUMBER(((Datos!M18/Datos!L18)*11)/factor_trimestre),((Datos!M18/Datos!L18)*11)/factor_trimestre," - ")</f>
        <v>0.29644268774703558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3.0612244897959183E-2</v>
      </c>
      <c r="AW18" s="946">
        <f>IF(ISNUMBER((Datos!Q18-Datos!R18)/(Datos!S18-Datos!Q18+Datos!R18)),(Datos!Q18-Datos!R18)/(Datos!S18-Datos!Q18+Datos!R18)," - ")</f>
        <v>-0.19157894736842104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53</v>
      </c>
      <c r="G19" s="951">
        <f t="shared" si="4"/>
        <v>53</v>
      </c>
      <c r="H19" s="951">
        <f t="shared" si="4"/>
        <v>0</v>
      </c>
      <c r="I19" s="952">
        <f t="shared" si="4"/>
        <v>0</v>
      </c>
      <c r="J19" s="953">
        <f t="shared" si="4"/>
        <v>0</v>
      </c>
      <c r="K19" s="953">
        <f t="shared" si="4"/>
        <v>0</v>
      </c>
      <c r="L19" s="953">
        <f t="shared" si="4"/>
        <v>0</v>
      </c>
      <c r="M19" s="953">
        <f t="shared" si="4"/>
        <v>0</v>
      </c>
      <c r="N19" s="952">
        <f t="shared" si="4"/>
        <v>270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185</v>
      </c>
      <c r="AE19" s="957">
        <f t="shared" si="5"/>
        <v>0</v>
      </c>
      <c r="AF19" s="958">
        <f t="shared" si="5"/>
        <v>52</v>
      </c>
      <c r="AG19" s="958">
        <f t="shared" si="5"/>
        <v>0</v>
      </c>
      <c r="AH19" s="958">
        <f t="shared" si="5"/>
        <v>7688</v>
      </c>
      <c r="AI19" s="958">
        <f t="shared" si="5"/>
        <v>0</v>
      </c>
      <c r="AJ19" s="959">
        <f t="shared" si="5"/>
        <v>0</v>
      </c>
      <c r="AK19" s="959">
        <f t="shared" si="5"/>
        <v>0</v>
      </c>
      <c r="AL19" s="951">
        <f t="shared" si="5"/>
        <v>373</v>
      </c>
      <c r="AM19" s="951">
        <f t="shared" si="5"/>
        <v>822</v>
      </c>
      <c r="AN19" s="951">
        <f t="shared" si="5"/>
        <v>0</v>
      </c>
      <c r="AO19" s="951">
        <f t="shared" si="5"/>
        <v>0</v>
      </c>
      <c r="AP19" s="951">
        <f>IF(ISNUMBER(((Datos!L19/Datos!K19)*11)/factor_trimestre),((Datos!L19/Datos!K19)*11)/factor_trimestre," - ")</f>
        <v>6.616959064327486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-0.32075471698113206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1.2201073694485115E-2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30.599564267050166</v>
      </c>
      <c r="G21" s="737">
        <f>IF(ISNUMBER(STDEV(G8:G18)),STDEV(G8:G18),"-")</f>
        <v>30.599564267050166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209.65765746409869</v>
      </c>
      <c r="AM21" s="736"/>
      <c r="AN21" s="736">
        <f>IF(ISNUMBER(STDEV(AN8:AN18)),STDEV(AN8:AN18),"-")</f>
        <v>0</v>
      </c>
      <c r="AO21" s="742">
        <f>IF(ISNUMBER(STDEV(AO8:AO18)),STDEV(AO8:AO18),"-")</f>
        <v>0</v>
      </c>
      <c r="AP21" s="779">
        <f>IF(ISNUMBER(STDEV(AP8:AP18)),STDEV(AP8:AP18),"-")</f>
        <v>2.7539082622247739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iSGVr5nY7if4ObNs9GGljm9k8GIxcg14+N3vPEWEJCHDu5TOSwFcTvmRQ1AcYZO7fM1cD3N/h1ulUA8NqfOrQ==" saltValue="6hLVz71heY0KVZJ3pUJn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SANTA COLOMA DE GRAMENET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Fg/pnl+Q/Xp+a7lf5HhOi2WfFjl5G3/gtKxu6bdoKerMVAco77Za+bUFrLMOtfv+tKtKEy1zV23lnU02JSQ5A==" saltValue="kTVZWY4+WZp5p2Xh6xns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SANTA COLOMA DE GRAMENET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363</v>
      </c>
      <c r="E12" s="404">
        <f t="shared" si="0"/>
        <v>60.5</v>
      </c>
      <c r="F12" s="403">
        <f>IF(ISNUMBER(Datos!N12),Datos!N12," - ")</f>
        <v>819</v>
      </c>
      <c r="G12" s="404">
        <f t="shared" si="1"/>
        <v>136.5</v>
      </c>
      <c r="H12" s="403">
        <f>IF(ISNUMBER(Datos!O12),Datos!O12," - ")</f>
        <v>494</v>
      </c>
      <c r="I12" s="404">
        <f t="shared" si="2"/>
        <v>82.333333333333329</v>
      </c>
      <c r="BZ12" s="1186">
        <f>Datos!EZ12</f>
        <v>0</v>
      </c>
    </row>
    <row r="13" spans="1:78" ht="14.25" thickTop="1" thickBot="1">
      <c r="A13" s="848" t="str">
        <f>Datos!A13</f>
        <v>TOTAL</v>
      </c>
      <c r="B13" s="849">
        <f>Datos!AP13</f>
        <v>6</v>
      </c>
      <c r="C13" s="851">
        <f>Datos!AR13</f>
        <v>6</v>
      </c>
      <c r="D13" s="849">
        <f>SUBTOTAL(9,D9:D12)</f>
        <v>373</v>
      </c>
      <c r="E13" s="850">
        <f t="shared" si="0"/>
        <v>62.166666666666664</v>
      </c>
      <c r="F13" s="849">
        <f>SUBTOTAL(9,F9:F12)</f>
        <v>822</v>
      </c>
      <c r="G13" s="850">
        <f t="shared" si="1"/>
        <v>137</v>
      </c>
      <c r="H13" s="849">
        <f>SUBTOTAL(9,H9:H12)</f>
        <v>497</v>
      </c>
      <c r="I13" s="850">
        <f>IF(ISNUMBER(H13/B13),H13/B13," - ")</f>
        <v>82.833333333333329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183</v>
      </c>
      <c r="E16" s="404">
        <f t="shared" si="3"/>
        <v>30.5</v>
      </c>
      <c r="F16" s="403">
        <f>IF(ISNUMBER(Datos!N16),Datos!N16," - ")</f>
        <v>878</v>
      </c>
      <c r="G16" s="404">
        <f t="shared" si="4"/>
        <v>146.33333333333334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101</v>
      </c>
      <c r="G17" s="404">
        <f>IF(ISNUMBER(F17/B17),F17/B17," - ")</f>
        <v>101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200</v>
      </c>
      <c r="E18" s="850">
        <f t="shared" si="3"/>
        <v>33.333333333333336</v>
      </c>
      <c r="F18" s="849">
        <f>SUBTOTAL(9,F15:F17)</f>
        <v>979</v>
      </c>
      <c r="G18" s="850">
        <f t="shared" si="4"/>
        <v>163.16666666666666</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573</v>
      </c>
      <c r="E19" s="795">
        <f>IF(ISNUMBER(D19/B19),D19/B19," - ")</f>
        <v>95.5</v>
      </c>
      <c r="F19" s="794">
        <f>SUBTOTAL(9,F8:F18)</f>
        <v>1801</v>
      </c>
      <c r="G19" s="795">
        <f>IF(ISNUMBER(F19/B19),F19/B19," - ")</f>
        <v>300.16666666666669</v>
      </c>
      <c r="H19" s="794">
        <f>SUBTOTAL(9,H8:H18)</f>
        <v>497</v>
      </c>
      <c r="I19" s="795">
        <f>IF(ISNUMBER(H19/B19),H19/B19," - ")</f>
        <v>82.833333333333329</v>
      </c>
    </row>
    <row r="22" spans="1:78">
      <c r="A22" s="391" t="str">
        <f>Criterios!A4</f>
        <v>Fecha Informe: 27 feb. 2025</v>
      </c>
    </row>
    <row r="27" spans="1:78">
      <c r="A27" s="414"/>
    </row>
  </sheetData>
  <sheetProtection algorithmName="SHA-512" hashValue="BAQ7L2BvTb8z4jofcNUPW5MHJTG6iuyyCZ29wgRq5215j7dRV/nTVG2Lf2Fygp4BRq3+t74FRSR3O6q0QWjmSg==" saltValue="Xj5Rxmbr0YmikYrEXmU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SANTA COLOMA DE GRAMENET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103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265</v>
      </c>
      <c r="C12" s="434">
        <f>IF(ISNUMBER(Datos!Q12),Datos!Q12," - ")</f>
        <v>185</v>
      </c>
      <c r="D12" s="408">
        <f>IF(ISNUMBER(Datos!R12),Datos!R12," - ")</f>
        <v>7688</v>
      </c>
    </row>
    <row r="13" spans="1:4" ht="14.25" thickTop="1" thickBot="1">
      <c r="A13" s="848" t="str">
        <f>Datos!A13</f>
        <v>TOTAL</v>
      </c>
      <c r="B13" s="849">
        <f>SUBTOTAL(9,B9:B12)</f>
        <v>270</v>
      </c>
      <c r="C13" s="853">
        <f>SUBTOTAL(9,C9:C12)</f>
        <v>185</v>
      </c>
      <c r="D13" s="851">
        <f>SUBTOTAL(9,D9:D12)</f>
        <v>7791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64</v>
      </c>
      <c r="C16" s="434">
        <f>IF(ISNUMBER(Datos!Q16),Datos!Q16," - ")</f>
        <v>49</v>
      </c>
      <c r="D16" s="408">
        <f>IF(ISNUMBER(Datos!R16),Datos!R16," - ")</f>
        <v>500</v>
      </c>
    </row>
    <row r="17" spans="1:4" ht="13.5" thickBot="1">
      <c r="A17" s="402" t="str">
        <f>Datos!A17</f>
        <v>Jdos. Violencia contra la mujer</v>
      </c>
      <c r="B17" s="433">
        <f>IF(ISNUMBER(Datos!P17),Datos!P17," - ")</f>
        <v>1</v>
      </c>
      <c r="C17" s="434">
        <f>IF(ISNUMBER(Datos!Q17),Datos!Q17," - ")</f>
        <v>1</v>
      </c>
      <c r="D17" s="408">
        <f>IF(ISNUMBER(Datos!R17),Datos!R17," - ")</f>
        <v>5</v>
      </c>
    </row>
    <row r="18" spans="1:4" ht="14.25" thickTop="1" thickBot="1">
      <c r="A18" s="848" t="str">
        <f>Datos!A18</f>
        <v>TOTAL</v>
      </c>
      <c r="B18" s="849">
        <f>SUBTOTAL(9,B15:B17)</f>
        <v>65</v>
      </c>
      <c r="C18" s="853">
        <f>SUBTOTAL(9,C15:C17)</f>
        <v>50</v>
      </c>
      <c r="D18" s="851">
        <f>SUBTOTAL(9,D15:D17)</f>
        <v>505</v>
      </c>
    </row>
    <row r="19" spans="1:4" ht="16.5" customHeight="1" thickTop="1" thickBot="1">
      <c r="A19" s="793" t="str">
        <f>Datos!A19</f>
        <v>TOTAL JURISDICCIONES</v>
      </c>
      <c r="B19" s="798">
        <f>SUBTOTAL(9,B8:B18)</f>
        <v>335</v>
      </c>
      <c r="C19" s="799">
        <f>SUBTOTAL(9,C8:C18)</f>
        <v>235</v>
      </c>
      <c r="D19" s="800">
        <f>SUBTOTAL(9,D8:D18)</f>
        <v>8296</v>
      </c>
    </row>
    <row r="20" spans="1:4" ht="7.5" customHeight="1"/>
    <row r="21" spans="1:4" ht="6" customHeight="1"/>
    <row r="22" spans="1:4">
      <c r="A22" s="391" t="str">
        <f>Criterios!A4</f>
        <v>Fecha Informe: 27 feb. 2025</v>
      </c>
    </row>
    <row r="27" spans="1:4">
      <c r="A27" s="414"/>
    </row>
  </sheetData>
  <sheetProtection algorithmName="SHA-512" hashValue="hzlP3qWsTvurm1LFHI6FXOgcsXVJZb8y52BZl2oW/dTnFHM5efVKa7CRG0DIadTYVKQU3iuDxDNar9MRmSGNZQ==" saltValue="uS0c/HwzxPJ6HBc3B70m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SANTA COLOMA DE GRAMENET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-8.6206896551724144E-2</v>
      </c>
      <c r="C10" s="456">
        <f>IF(ISNUMBER((Datos!J10-Datos!T10)/Datos!T10),(Datos!J10-Datos!T10)/Datos!T10," - ")</f>
        <v>-0.36</v>
      </c>
      <c r="D10" s="456">
        <f>IF(ISNUMBER((Datos!K10-Datos!U10)/Datos!U10),(Datos!K10-Datos!U10)/Datos!U10," - ")</f>
        <v>-0.22727272727272727</v>
      </c>
      <c r="E10" s="456">
        <f>IF(ISNUMBER((Datos!L10-Datos!V10)/Datos!V10),(Datos!L10-Datos!V10)/Datos!V10," - ")</f>
        <v>-0.14754098360655737</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0.20738636363636362</v>
      </c>
      <c r="I10" s="456">
        <f>IF(ISNUMBER(((NºAsuntos!I10/NºAsuntos!G10)-Datos!BE10)/Datos!BE10),((NºAsuntos!I10/NºAsuntos!G10)-Datos!BE10)/Datos!BE10," - ")</f>
        <v>0.10318225650916088</v>
      </c>
      <c r="J10" s="461">
        <f>IF(ISNUMBER((('Resol  Asuntos'!D10/NºAsuntos!G10)-Datos!BF10)/Datos!BF10),(('Resol  Asuntos'!D10/NºAsuntos!G10)-Datos!BF10)/Datos!BF10," - ")</f>
        <v>0.29411764705882359</v>
      </c>
      <c r="K10" s="462">
        <f>IF(ISNUMBER((((NºAsuntos!C10+NºAsuntos!E10)/NºAsuntos!G10)-Datos!BG10)/Datos!BG10),(((NºAsuntos!C10+NºAsuntos!E10)/NºAsuntos!G10)-Datos!BG10)/Datos!BG10," - ")</f>
        <v>7.583274273564837E-2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4.2277825711820538E-2</v>
      </c>
      <c r="C12" s="456">
        <f>IF(ISNUMBER(
   IF(J_V="SI",(Datos!J12-Datos!T12)/Datos!T12,(Datos!J12+Datos!Z12-(Datos!T12+Datos!AH12))/(Datos!T12+Datos!AH12))
     ),IF(J_V="SI",(Datos!J12-Datos!T12)/Datos!T12,(Datos!J12+Datos!Z12-(Datos!T12+Datos!AH12))/(Datos!T12+Datos!AH12))," - ")</f>
        <v>-0.13729977116704806</v>
      </c>
      <c r="D12" s="456">
        <f>IF(ISNUMBER(
   IF(J_V="SI",(Datos!K12-Datos!U12)/Datos!U12,(Datos!K12+Datos!AA12-(Datos!U12+Datos!AI12))/(Datos!U12+Datos!AI12))
     ),IF(J_V="SI",(Datos!K12-Datos!U12)/Datos!U12,(Datos!K12+Datos!AA12-(Datos!U12+Datos!AI12))/(Datos!U12+Datos!AI12))," - ")</f>
        <v>3.0895334174022699E-2</v>
      </c>
      <c r="E12" s="456">
        <f>IF(ISNUMBER(
   IF(J_V="SI",(Datos!L12-Datos!V12)/Datos!V12,(Datos!L12+Datos!AB12-(Datos!V12+Datos!AJ12))/(Datos!V12+Datos!AJ12))
     ),IF(J_V="SI",(Datos!L12-Datos!V12)/Datos!V12,(Datos!L12+Datos!AB12-(Datos!V12+Datos!AJ12))/(Datos!V12+Datos!AJ12))," - ")</f>
        <v>-7.0862859524802001E-3</v>
      </c>
      <c r="F12" s="456">
        <f>IF(ISNUMBER((Datos!M12-Datos!W12)/Datos!W12),(Datos!M12-Datos!W12)/Datos!W12," - ")</f>
        <v>5.5401662049861496E-3</v>
      </c>
      <c r="G12" s="457">
        <f>IF(ISNUMBER((Datos!N12-Datos!X12)/Datos!X12),(Datos!N12-Datos!X12)/Datos!X12," - ")</f>
        <v>0.19213973799126638</v>
      </c>
      <c r="H12" s="455">
        <f>IF(ISNUMBER(((NºAsuntos!G12/NºAsuntos!E12)-Datos!BD12)/Datos!BD12),((NºAsuntos!G12/NºAsuntos!E12)-Datos!BD12)/Datos!BD12," - ")</f>
        <v>0.19496355711949054</v>
      </c>
      <c r="I12" s="456">
        <f>IF(ISNUMBER(((NºAsuntos!I12/NºAsuntos!G12)-Datos!BE12)/Datos!BE12),((NºAsuntos!I12/NºAsuntos!G12)-Datos!BE12)/Datos!BE12," - ")</f>
        <v>-3.6843333040142839E-2</v>
      </c>
      <c r="J12" s="461">
        <f>IF(ISNUMBER((('Resol  Asuntos'!D12/NºAsuntos!G12)-Datos!BF12)/Datos!BF12),(('Resol  Asuntos'!D12/NºAsuntos!G12)-Datos!BF12)/Datos!BF12," - ")</f>
        <v>-0.48745109036764017</v>
      </c>
      <c r="K12" s="462">
        <f>IF(ISNUMBER((((NºAsuntos!C12+NºAsuntos!E12)/NºAsuntos!G12)-Datos!BG12)/Datos!BG12),(((NºAsuntos!C12+NºAsuntos!E12)/NºAsuntos!G12)-Datos!BG12)/Datos!BG12," - ")</f>
        <v>-3.6655093390969701E-2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4.0690242863229656E-2</v>
      </c>
      <c r="C13" s="855">
        <f>IF(ISNUMBER(
   IF(J_V="SI",(Datos!J13-Datos!T13)/Datos!T13,(Datos!J13+Datos!Z13-(Datos!T13+Datos!AH13))/(Datos!T13+Datos!AH13))
     ),IF(J_V="SI",(Datos!J13-Datos!T13)/Datos!T13,(Datos!J13+Datos!Z13-(Datos!T13+Datos!AH13))/(Datos!T13+Datos!AH13))," - ")</f>
        <v>-0.14043993231810489</v>
      </c>
      <c r="D13" s="855">
        <f>IF(ISNUMBER(
   IF(J_V="SI",(Datos!K13-Datos!U13)/Datos!U13,(Datos!K13+Datos!AA13-(Datos!U13+Datos!AI13))/(Datos!U13+Datos!AI13))
     ),IF(J_V="SI",(Datos!K13-Datos!U13)/Datos!U13,(Datos!K13+Datos!AA13-(Datos!U13+Datos!AI13))/(Datos!U13+Datos!AI13))," - ")</f>
        <v>2.736318407960199E-2</v>
      </c>
      <c r="E13" s="855">
        <f>IF(ISNUMBER(
   IF(J_V="SI",(Datos!L13-Datos!V13)/Datos!V13,(Datos!L13+Datos!AB13-(Datos!V13+Datos!AJ13))/(Datos!V13+Datos!AJ13))
     ),IF(J_V="SI",(Datos!L13-Datos!V13)/Datos!V13,(Datos!L13+Datos!AB13-(Datos!V13+Datos!AJ13))/(Datos!V13+Datos!AJ13))," - ")</f>
        <v>-8.8495575221238937E-3</v>
      </c>
      <c r="F13" s="856">
        <f>IF(ISNUMBER((Datos!M13-Datos!W13)/Datos!W13),(Datos!M13-Datos!W13)/Datos!W13," - ")</f>
        <v>5.3908355795148251E-3</v>
      </c>
      <c r="G13" s="857">
        <f>IF(ISNUMBER((Datos!N13-Datos!X13)/Datos!X13),(Datos!N13-Datos!X13)/Datos!X13," - ")</f>
        <v>0.19303338171262699</v>
      </c>
      <c r="H13" s="857">
        <f>IF(ISNUMBER(((NºAsuntos!G13/NºAsuntos!E13)-Datos!BD13)/Datos!BD13),((NºAsuntos!G13/NºAsuntos!E13)-Datos!BD13)/Datos!BD13," - ")</f>
        <v>0.19521976730520627</v>
      </c>
      <c r="I13" s="857">
        <f>IF(ISNUMBER(((NºAsuntos!I13/NºAsuntos!G13)-Datos!BE13)/Datos!BE13),((NºAsuntos!I13/NºAsuntos!G13)-Datos!BE13)/Datos!BE13," - ")</f>
        <v>-3.5248237588120651E-2</v>
      </c>
      <c r="J13" s="857">
        <f>IF(ISNUMBER((('Resol  Asuntos'!D13/NºAsuntos!G13)-Datos!BF13)/Datos!BF13),(('Resol  Asuntos'!D13/NºAsuntos!G13)-Datos!BF13)/Datos!BF13," - ")</f>
        <v>-0.47910276140220454</v>
      </c>
      <c r="K13" s="857">
        <f>IF(ISNUMBER((((NºAsuntos!C13+NºAsuntos!E13)/NºAsuntos!G13)-Datos!BG13)/Datos!BG13),(((NºAsuntos!C13+NºAsuntos!E13)/NºAsuntos!G13)-Datos!BG13)/Datos!BG13," - ")</f>
        <v>-3.5364119045809411E-2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5.2378085490668275E-2</v>
      </c>
      <c r="C16" s="456">
        <f>IF(ISNUMBER(
   IF(D_I="SI",(Datos!J16-Datos!T16)/Datos!T16,(Datos!J16+Datos!AD16-(Datos!T16+Datos!AL16))/(Datos!T16+Datos!AL16))
     ),IF(D_I="SI",(Datos!J16-Datos!T16)/Datos!T16,(Datos!J16+Datos!AD16-(Datos!T16+Datos!AL16))/(Datos!T16+Datos!AL16))," - ")</f>
        <v>-4.5141065830721E-2</v>
      </c>
      <c r="D16" s="456">
        <f>IF(ISNUMBER(
   IF(D_I="SI",(Datos!K16-Datos!U16)/Datos!U16,(Datos!K16+Datos!AE16-(Datos!U16+Datos!AM16))/(Datos!U16+Datos!AM16))
     ),IF(D_I="SI",(Datos!K16-Datos!U16)/Datos!U16,(Datos!K16+Datos!AE16-(Datos!U16+Datos!AM16))/(Datos!U16+Datos!AM16))," - ")</f>
        <v>-0.12623152709359606</v>
      </c>
      <c r="E16" s="456">
        <f>IF(ISNUMBER(
   IF(D_I="SI",(Datos!L16-Datos!V16)/Datos!V16,(Datos!L16+Datos!AF16-(Datos!V16+Datos!AN16))/(Datos!V16+Datos!AN16))
     ),IF(D_I="SI",(Datos!L16-Datos!V16)/Datos!V16,(Datos!L16+Datos!AF16-(Datos!V16+Datos!AN16))/(Datos!V16+Datos!AN16))," - ")</f>
        <v>0.14154411764705882</v>
      </c>
      <c r="F16" s="456">
        <f>IF(ISNUMBER((Datos!M16-Datos!W16)/Datos!W16),(Datos!M16-Datos!W16)/Datos!W16," - ")</f>
        <v>-0.18666666666666668</v>
      </c>
      <c r="G16" s="457">
        <f>IF(ISNUMBER((Datos!N16-Datos!X16)/Datos!X16),(Datos!N16-Datos!X16)/Datos!X16," - ")</f>
        <v>-0.13326752221125371</v>
      </c>
      <c r="H16" s="455">
        <f>IF(ISNUMBER(((NºAsuntos!G16/NºAsuntos!E16)-Datos!BD16)/Datos!BD16),((NºAsuntos!G16/NºAsuntos!E16)-Datos!BD16)/Datos!BD16," - ")</f>
        <v>-8.4924022136760063E-2</v>
      </c>
      <c r="I16" s="456">
        <f>IF(ISNUMBER(((NºAsuntos!I16/NºAsuntos!G16)-Datos!BE16)/Datos!BE16),((NºAsuntos!I16/NºAsuntos!G16)-Datos!BE16)/Datos!BE16," - ")</f>
        <v>0.30646063922397698</v>
      </c>
      <c r="J16" s="461">
        <f>IF(ISNUMBER((('Resol  Asuntos'!D16/NºAsuntos!G16)-Datos!BF16)/Datos!BF16),(('Resol  Asuntos'!D16/NºAsuntos!G16)-Datos!BF16)/Datos!BF16," - ")</f>
        <v>-6.9166079398637684E-2</v>
      </c>
      <c r="K16" s="462">
        <f>IF(ISNUMBER((((NºAsuntos!C16+NºAsuntos!E16)/NºAsuntos!G16)-Datos!BG16)/Datos!BG16),(((NºAsuntos!C16+NºAsuntos!E16)/NºAsuntos!G16)-Datos!BG16)/Datos!BG16," - ")</f>
        <v>0.14974036115685158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-0.35521235521235522</v>
      </c>
      <c r="C17" s="456">
        <f>IF(ISNUMBER(
   IF(D_I="SI",(Datos!J17-Datos!T17)/Datos!T17,(Datos!J17+Datos!AD17-(Datos!T17+Datos!AL17))/(Datos!T17+Datos!AL17))
     ),IF(D_I="SI",(Datos!J17-Datos!T17)/Datos!T17,(Datos!J17+Datos!AD17-(Datos!T17+Datos!AL17))/(Datos!T17+Datos!AL17))," - ")</f>
        <v>-3.1413612565445025E-2</v>
      </c>
      <c r="D17" s="456">
        <f>IF(ISNUMBER(
   IF(D_I="SI",(Datos!K17-Datos!U17)/Datos!U17,(Datos!K17+Datos!AE17-(Datos!U17+Datos!AM17))/(Datos!U17+Datos!AM17))
     ),IF(D_I="SI",(Datos!K17-Datos!U17)/Datos!U17,(Datos!K17+Datos!AE17-(Datos!U17+Datos!AM17))/(Datos!U17+Datos!AM17))," - ")</f>
        <v>-0.20416666666666666</v>
      </c>
      <c r="E17" s="456">
        <f>IF(ISNUMBER(
   IF(D_I="SI",(Datos!L17-Datos!V17)/Datos!V17,(Datos!L17+Datos!AF17-(Datos!V17+Datos!AN17))/(Datos!V17+Datos!AN17))
     ),IF(D_I="SI",(Datos!L17-Datos!V17)/Datos!V17,(Datos!L17+Datos!AF17-(Datos!V17+Datos!AN17))/(Datos!V17+Datos!AN17))," - ")</f>
        <v>-0.23333333333333334</v>
      </c>
      <c r="F17" s="456">
        <f>IF(ISNUMBER((Datos!M17-Datos!W17)/Datos!W17),(Datos!M17-Datos!W17)/Datos!W17," - ")</f>
        <v>1.8333333333333333</v>
      </c>
      <c r="G17" s="457">
        <f>IF(ISNUMBER((Datos!N17-Datos!X17)/Datos!X17),(Datos!N17-Datos!X17)/Datos!X17," - ")</f>
        <v>-0.28368794326241137</v>
      </c>
      <c r="H17" s="455">
        <f>IF(ISNUMBER(((NºAsuntos!G17/NºAsuntos!E17)-Datos!BD17)/Datos!BD17),((NºAsuntos!G17/NºAsuntos!E17)-Datos!BD17)/Datos!BD17," - ")</f>
        <v>-0.17835585585585595</v>
      </c>
      <c r="I17" s="456">
        <f>IF(ISNUMBER(((NºAsuntos!I17/NºAsuntos!G17)-Datos!BE17)/Datos!BE17),((NºAsuntos!I17/NºAsuntos!G17)-Datos!BE17)/Datos!BE17," - ")</f>
        <v>-3.6649214659685923E-2</v>
      </c>
      <c r="J17" s="461">
        <f>IF(ISNUMBER((('Resol  Asuntos'!D17/NºAsuntos!G17)-Datos!BF17)/Datos!BF17),(('Resol  Asuntos'!D17/NºAsuntos!G17)-Datos!BF17)/Datos!BF17," - ")</f>
        <v>2.5602094240837689</v>
      </c>
      <c r="K17" s="462">
        <f>IF(ISNUMBER((((NºAsuntos!C17+NºAsuntos!E17)/NºAsuntos!G17)-Datos!BG17)/Datos!BG17),(((NºAsuntos!C17+NºAsuntos!E17)/NºAsuntos!G17)-Datos!BG17)/Datos!BG17," - ")</f>
        <v>-1.7102966841186767E-2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-2.6041666666666665E-3</v>
      </c>
      <c r="C18" s="855">
        <f>IF(ISNUMBER(
   IF(Criterios!B14="SI",(Datos!J18-Datos!T18)/Datos!T18,(Datos!J18+Datos!AD18-(Datos!T18+Datos!AL18))/(Datos!T18+Datos!AL18))
     ),IF(Criterios!B14="SI",(Datos!J18-Datos!T18)/Datos!T18,(Datos!J18+Datos!AD18-(Datos!T18+Datos!AL18))/(Datos!T18+Datos!AL18))," - ")</f>
        <v>-4.3673012318029114E-2</v>
      </c>
      <c r="D18" s="855">
        <f>IF(ISNUMBER(
   IF(Criterios!B14="SI",(Datos!K18-Datos!U18)/Datos!U18,(Datos!K18+Datos!AE18-(Datos!U18+Datos!AM18))/(Datos!U18+Datos!AM18))
     ),IF(Criterios!B14="SI",(Datos!K18-Datos!U18)/Datos!U18,(Datos!K18+Datos!AE18-(Datos!U18+Datos!AM18))/(Datos!U18+Datos!AM18))," - ")</f>
        <v>-0.13626609442060086</v>
      </c>
      <c r="E18" s="855">
        <f>IF(ISNUMBER(
   IF(Criterios!B14="SI",(Datos!L18-Datos!V18)/Datos!V18,(Datos!L18+Datos!AF18-(Datos!V18+Datos!AN18))/(Datos!V18+Datos!AN18))
     ),IF(Criterios!B14="SI",(Datos!L18-Datos!V18)/Datos!V18,(Datos!L18+Datos!AF18-(Datos!V18+Datos!AN18))/(Datos!V18+Datos!AN18))," - ")</f>
        <v>9.8805646036916397E-2</v>
      </c>
      <c r="F18" s="856">
        <f>IF(ISNUMBER((Datos!M18-Datos!W18)/Datos!W18),(Datos!M18-Datos!W18)/Datos!W18," - ")</f>
        <v>-0.13419913419913421</v>
      </c>
      <c r="G18" s="857">
        <f>IF(ISNUMBER((Datos!N18-Datos!X18)/Datos!X18),(Datos!N18-Datos!X18)/Datos!X18," - ")</f>
        <v>-0.15164644714038128</v>
      </c>
      <c r="H18" s="857">
        <f>IF(ISNUMBER(((NºAsuntos!G18/NºAsuntos!E18)-Datos!BD18)/Datos!BD18),((NºAsuntos!G18/NºAsuntos!E18)-Datos!BD18)/Datos!BD18," - ")</f>
        <v>-9.6821571800464315E-2</v>
      </c>
      <c r="I18" s="857">
        <f>IF(ISNUMBER(((NºAsuntos!I18/NºAsuntos!G18)-Datos!BE18)/Datos!BE18),((NºAsuntos!I18/NºAsuntos!G18)-Datos!BE18)/Datos!BE18," - ")</f>
        <v>0.27215759267876521</v>
      </c>
      <c r="J18" s="857">
        <f>IF(ISNUMBER((('Resol  Asuntos'!D18/NºAsuntos!G18)-Datos!BF18)/Datos!BF18),(('Resol  Asuntos'!D18/NºAsuntos!G18)-Datos!BF18)/Datos!BF18," - ")</f>
        <v>2.3930520824930151E-3</v>
      </c>
      <c r="K18" s="857">
        <f>IF(ISNUMBER((((NºAsuntos!C18+NºAsuntos!E18)/NºAsuntos!G18)-Datos!BG18)/Datos!BG18),(((NºAsuntos!C18+NºAsuntos!E18)/NºAsuntos!G18)-Datos!BG18)/Datos!BG18," - ")</f>
        <v>0.13183456070900645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2.8122165104324161E-2</v>
      </c>
      <c r="C19" s="802">
        <f>IF(ISNUMBER(
   IF(J_V="SI",(Datos!J19-Datos!T19)/Datos!T19,(Datos!J19+Datos!Z19-(Datos!T19+Datos!AH19))/(Datos!T19+Datos!AH19))
     ),IF(J_V="SI",(Datos!J19-Datos!T19)/Datos!T19,(Datos!J19+Datos!Z19-(Datos!T19+Datos!AH19))/(Datos!T19+Datos!AH19))," - ")</f>
        <v>-9.1879741500421469E-2</v>
      </c>
      <c r="D19" s="802">
        <f>IF(ISNUMBER(
   IF(J_V="SI",(Datos!K19-Datos!U19)/Datos!U19,(Datos!K19+Datos!AA19-(Datos!U19+Datos!AI19))/(Datos!U19+Datos!AI19))
     ),IF(J_V="SI",(Datos!K19-Datos!U19)/Datos!U19,(Datos!K19+Datos!AA19-(Datos!U19+Datos!AI19))/(Datos!U19+Datos!AI19))," - ")</f>
        <v>-6.0483870967741937E-2</v>
      </c>
      <c r="E19" s="802">
        <f>IF(ISNUMBER(
   IF(J_V="SI",(Datos!L19-Datos!V19)/Datos!V19,(Datos!L19+Datos!AB19-(Datos!V19+Datos!AJ19))/(Datos!V19+Datos!AJ19))
     ),IF(J_V="SI",(Datos!L19-Datos!V19)/Datos!V19,(Datos!L19+Datos!AB19-(Datos!V19+Datos!AJ19))/(Datos!V19+Datos!AJ19))," - ")</f>
        <v>2.0743172660796897E-2</v>
      </c>
      <c r="F19" s="803">
        <f>IF(ISNUMBER((Datos!M19-Datos!W19)/Datos!W19),(Datos!M19-Datos!W19)/Datos!W19," - ")</f>
        <v>-4.817275747508306E-2</v>
      </c>
      <c r="G19" s="804">
        <f>IF(ISNUMBER((Datos!N19-Datos!X19)/Datos!X19),(Datos!N19-Datos!X19)/Datos!X19," - ")</f>
        <v>-2.278893109061313E-2</v>
      </c>
      <c r="H19" s="805">
        <f>IF(ISNUMBER((Tasas!B19-Datos!BD19)/Datos!BD19),(Tasas!B19-Datos!BD19)/Datos!BD19," - ")</f>
        <v>3.4572371047588674E-2</v>
      </c>
      <c r="I19" s="806">
        <f>IF(ISNUMBER((Tasas!C19-Datos!BE19)/Datos!BE19),(Tasas!C19-Datos!BE19)/Datos!BE19," - ")</f>
        <v>8.6456252445826776E-2</v>
      </c>
      <c r="J19" s="807">
        <f>IF(ISNUMBER((Tasas!D19-Datos!BF19)/Datos!BF19),(Tasas!D19-Datos!BF19)/Datos!BF19," - ")</f>
        <v>-0.34279265946425924</v>
      </c>
      <c r="K19" s="807">
        <f>IF(ISNUMBER((Tasas!E19-Datos!BG19)/Datos!BG19),(Tasas!E19-Datos!BG19)/Datos!BG19," - ")</f>
        <v>4.962517545180805E-2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U+diQY5pOPUpwzNF84c16nlmM4TTxPBcsL2QyNL1X78hpOdrNnDZRq3nU1QLM8kxh0kfoPtXxdHs0Vzjl6sBw==" saltValue="BQb8aHKMbyG2mdDmvq9r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SANTA COLOMA DE GRAMENET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1.0625</v>
      </c>
      <c r="C10" s="443">
        <f>IF(ISNUMBER(NºAsuntos!I10/NºAsuntos!G10),NºAsuntos!I10/NºAsuntos!G10," - ")</f>
        <v>3.0588235294117645</v>
      </c>
      <c r="D10" s="444">
        <f>IF(ISNUMBER('Resol  Asuntos'!D10/NºAsuntos!G10),'Resol  Asuntos'!D10/NºAsuntos!G10," - ")</f>
        <v>0.58823529411764708</v>
      </c>
      <c r="E10" s="445">
        <f>IF(ISNUMBER((NºAsuntos!C10+NºAsuntos!E10)/NºAsuntos!G10),(NºAsuntos!C10+NºAsuntos!E10)/NºAsuntos!G10," - ")</f>
        <v>4.0588235294117645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1.0842175066312998</v>
      </c>
      <c r="C12" s="443">
        <f>IF(ISNUMBER(NºAsuntos!I12/NºAsuntos!G12),NºAsuntos!I12/NºAsuntos!G12," - ")</f>
        <v>2.9137614678899082</v>
      </c>
      <c r="D12" s="444">
        <f>IF(ISNUMBER('Resol  Asuntos'!D12/NºAsuntos!G12),'Resol  Asuntos'!D12/NºAsuntos!G12," - ")</f>
        <v>0.22201834862385322</v>
      </c>
      <c r="E12" s="445">
        <f>IF(ISNUMBER((NºAsuntos!C12+NºAsuntos!E12)/NºAsuntos!G12),(NºAsuntos!C12+NºAsuntos!E12)/NºAsuntos!G12," - ")</f>
        <v>3.8776758409785934</v>
      </c>
      <c r="G12" s="463"/>
    </row>
    <row r="13" spans="1:7" ht="14.25" thickTop="1" thickBot="1">
      <c r="A13" s="848" t="str">
        <f>Datos!A13</f>
        <v>TOTAL</v>
      </c>
      <c r="B13" s="858">
        <f>IF(ISNUMBER(NºAsuntos!G13/NºAsuntos!E13),NºAsuntos!G13/NºAsuntos!E13," - ")</f>
        <v>1.083989501312336</v>
      </c>
      <c r="C13" s="859">
        <f>IF(ISNUMBER(NºAsuntos!I13/NºAsuntos!G13),NºAsuntos!I13/NºAsuntos!G13," - ")</f>
        <v>2.9152542372881354</v>
      </c>
      <c r="D13" s="860">
        <f>IF(ISNUMBER('Resol  Asuntos'!D13/NºAsuntos!G13),'Resol  Asuntos'!D13/NºAsuntos!G13," - ")</f>
        <v>0.22578692493946731</v>
      </c>
      <c r="E13" s="861">
        <f>IF(ISNUMBER((NºAsuntos!C13+NºAsuntos!E13)/NºAsuntos!G13),(NºAsuntos!C13+NºAsuntos!E13)/NºAsuntos!G13," - ")</f>
        <v>3.8795399515738498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0.93171372291529875</v>
      </c>
      <c r="C16" s="443">
        <f>IF(ISNUMBER(NºAsuntos!I16/NºAsuntos!G16),NºAsuntos!I16/NºAsuntos!G16," - ")</f>
        <v>1.3128964059196617</v>
      </c>
      <c r="D16" s="444">
        <f>IF(ISNUMBER('Resol  Asuntos'!D16/NºAsuntos!G16),'Resol  Asuntos'!D16/NºAsuntos!G16," - ")</f>
        <v>0.12896405919661733</v>
      </c>
      <c r="E16" s="445">
        <f>IF(ISNUMBER((NºAsuntos!C16+NºAsuntos!E16)/NºAsuntos!G16),(NºAsuntos!C16+NºAsuntos!E16)/NºAsuntos!G16," - ")</f>
        <v>2.3051444679351656</v>
      </c>
      <c r="G16" s="463"/>
    </row>
    <row r="17" spans="1:7" ht="13.5" thickBot="1">
      <c r="A17" s="402" t="str">
        <f>Datos!A17</f>
        <v>Jdos. Violencia contra la mujer</v>
      </c>
      <c r="B17" s="442">
        <f>IF(ISNUMBER(NºAsuntos!G17/NºAsuntos!E17),NºAsuntos!G17/NºAsuntos!E17," - ")</f>
        <v>1.0324324324324323</v>
      </c>
      <c r="C17" s="443">
        <f>IF(ISNUMBER(NºAsuntos!I17/NºAsuntos!G17),NºAsuntos!I17/NºAsuntos!G17," - ")</f>
        <v>0.84293193717277481</v>
      </c>
      <c r="D17" s="444">
        <f>IF(ISNUMBER('Resol  Asuntos'!D17/NºAsuntos!G17),'Resol  Asuntos'!D17/NºAsuntos!G17," - ")</f>
        <v>8.9005235602094238E-2</v>
      </c>
      <c r="E17" s="445">
        <f>IF(ISNUMBER((NºAsuntos!C17+NºAsuntos!E17)/NºAsuntos!G17),(NºAsuntos!C17+NºAsuntos!E17)/NºAsuntos!G17," - ")</f>
        <v>1.8429319371727748</v>
      </c>
      <c r="G17" s="463"/>
    </row>
    <row r="18" spans="1:7" ht="14.25" thickTop="1" thickBot="1">
      <c r="A18" s="848" t="str">
        <f>Datos!A18</f>
        <v>TOTAL</v>
      </c>
      <c r="B18" s="858">
        <f>IF(ISNUMBER(NºAsuntos!G18/NºAsuntos!E18),NºAsuntos!G18/NºAsuntos!E18," - ")</f>
        <v>0.94262295081967218</v>
      </c>
      <c r="C18" s="859">
        <f>IF(ISNUMBER(NºAsuntos!I18/NºAsuntos!G18),NºAsuntos!I18/NºAsuntos!G18," - ")</f>
        <v>1.2571428571428571</v>
      </c>
      <c r="D18" s="862">
        <f>IF(ISNUMBER('Resol  Asuntos'!D18/NºAsuntos!G18),'Resol  Asuntos'!D18/NºAsuntos!G18," - ")</f>
        <v>0.12422360248447205</v>
      </c>
      <c r="E18" s="861">
        <f>IF(ISNUMBER((NºAsuntos!C18+NºAsuntos!E18)/NºAsuntos!G18),(NºAsuntos!C18+NºAsuntos!E18)/NºAsuntos!G18," - ")</f>
        <v>2.2503105590062114</v>
      </c>
      <c r="G18" s="463"/>
    </row>
    <row r="19" spans="1:7" ht="15.75" customHeight="1" thickTop="1" thickBot="1">
      <c r="A19" s="793" t="str">
        <f>Datos!A19</f>
        <v>TOTAL JURISDICCIONES</v>
      </c>
      <c r="B19" s="808">
        <f>IF(ISNUMBER(NºAsuntos!G19/NºAsuntos!E19),NºAsuntos!G19/NºAsuntos!E19," - ")</f>
        <v>1.0092821782178218</v>
      </c>
      <c r="C19" s="809">
        <f>IF(ISNUMBER(NºAsuntos!I19/NºAsuntos!G19),NºAsuntos!I19/NºAsuntos!G19," - ")</f>
        <v>2.0968730839975476</v>
      </c>
      <c r="D19" s="810">
        <f>IF(ISNUMBER('Resol  Asuntos'!D19/NºAsuntos!G19),'Resol  Asuntos'!D19/NºAsuntos!G19," - ")</f>
        <v>0.17565910484365421</v>
      </c>
      <c r="E19" s="811">
        <f>IF(ISNUMBER((NºAsuntos!C19+NºAsuntos!E19)/NºAsuntos!G19),(NºAsuntos!C19+NºAsuntos!E19)/NºAsuntos!G19," - ")</f>
        <v>3.0754138565297362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SZbN4FRuJolAuq3oa0adLSS4QPfdfFcyay1HwG4MLeDJqBi+yQA9g/P4zNacgk3wY4MEykTO4fVDlasCO/KKQ==" saltValue="RUyOtvztyu8tBO7IqR52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SANTA COLOMA DE GRAMENET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53</v>
      </c>
      <c r="G10" s="333">
        <f>IF(ISNUMBER(Datos!I10),Datos!I10," - ")</f>
        <v>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52</v>
      </c>
      <c r="AB10" s="334">
        <f>IF(ISNUMBER(Datos!R10),Datos!R10," - ")</f>
        <v>103</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1.0625</v>
      </c>
      <c r="AM10" s="260">
        <f>IF(ISNUMBER(((NºAsuntos!I10/NºAsuntos!G10)*11)/factor_trimestre),((NºAsuntos!I10/NºAsuntos!G10)*11)/factor_trimestre," - ")</f>
        <v>9.1764705882352935</v>
      </c>
      <c r="AN10" s="244">
        <f>IF(ISNUMBER('Resol  Asuntos'!D10/NºAsuntos!G10),'Resol  Asuntos'!D10/NºAsuntos!G10," - ")</f>
        <v>0.58823529411764708</v>
      </c>
      <c r="AO10" s="245">
        <f>IF(ISNUMBER((NºAsuntos!C10+NºAsuntos!E10)/NºAsuntos!G10),(NºAsuntos!C10+NºAsuntos!E10)/NºAsuntos!G10," - ")</f>
        <v>4.0588235294117645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185</v>
      </c>
      <c r="Y12" s="334">
        <f t="shared" si="0"/>
        <v>185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363</v>
      </c>
      <c r="AJ12" s="229" t="str">
        <f>IF(ISNUMBER(Datos!BW12),Datos!BW12," - ")</f>
        <v xml:space="preserve"> - </v>
      </c>
      <c r="AK12" s="228" t="str">
        <f>IF(ISNUMBER(Datos!BX12),Datos!BX12," - ")</f>
        <v xml:space="preserve"> - </v>
      </c>
      <c r="AL12" s="243">
        <f>IF(ISNUMBER(NºAsuntos!G12/NºAsuntos!E12),NºAsuntos!G12/NºAsuntos!E12," - ")</f>
        <v>1.0842175066312998</v>
      </c>
      <c r="AM12" s="260">
        <f>IF(ISNUMBER(((NºAsuntos!I12/NºAsuntos!G12)*11)/factor_trimestre),((NºAsuntos!I12/NºAsuntos!G12)*11)/factor_trimestre," - ")</f>
        <v>8.7412844036697255</v>
      </c>
      <c r="AN12" s="244">
        <f>IF(ISNUMBER('Resol  Asuntos'!D12/NºAsuntos!G12),'Resol  Asuntos'!D12/NºAsuntos!G12," - ")</f>
        <v>0.22201834862385322</v>
      </c>
      <c r="AO12" s="245">
        <f>IF(ISNUMBER((NºAsuntos!C12+NºAsuntos!E12)/NºAsuntos!G12),(NºAsuntos!C12+NºAsuntos!E12)/NºAsuntos!G12," - ")</f>
        <v>3.8776758409785934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53</v>
      </c>
      <c r="G13" s="866">
        <f t="shared" si="3"/>
        <v>53</v>
      </c>
      <c r="H13" s="865">
        <f t="shared" si="3"/>
        <v>0</v>
      </c>
      <c r="I13" s="867">
        <f t="shared" si="3"/>
        <v>0</v>
      </c>
      <c r="J13" s="867">
        <f t="shared" si="3"/>
        <v>0</v>
      </c>
      <c r="K13" s="867">
        <f t="shared" si="3"/>
        <v>0</v>
      </c>
      <c r="L13" s="867">
        <f t="shared" si="3"/>
        <v>270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185</v>
      </c>
      <c r="Y13" s="868">
        <f t="shared" si="4"/>
        <v>202</v>
      </c>
      <c r="Z13" s="868">
        <f t="shared" si="4"/>
        <v>0</v>
      </c>
      <c r="AA13" s="868">
        <f t="shared" si="4"/>
        <v>52</v>
      </c>
      <c r="AB13" s="868">
        <f t="shared" si="4"/>
        <v>7791</v>
      </c>
      <c r="AC13" s="868">
        <f t="shared" si="4"/>
        <v>155</v>
      </c>
      <c r="AD13" s="868">
        <f t="shared" si="4"/>
        <v>0</v>
      </c>
      <c r="AE13" s="872">
        <f t="shared" si="4"/>
        <v>0</v>
      </c>
      <c r="AF13" s="865">
        <f t="shared" si="4"/>
        <v>0</v>
      </c>
      <c r="AG13" s="873">
        <f t="shared" si="4"/>
        <v>0</v>
      </c>
      <c r="AH13" s="870">
        <f t="shared" si="4"/>
        <v>0</v>
      </c>
      <c r="AI13" s="865">
        <f t="shared" si="4"/>
        <v>373</v>
      </c>
      <c r="AJ13" s="867">
        <f t="shared" si="4"/>
        <v>0</v>
      </c>
      <c r="AK13" s="870">
        <f>SUBTOTAL(9,AK9:AK12)</f>
        <v>0</v>
      </c>
      <c r="AL13" s="874">
        <f>IF(ISNUMBER(NºAsuntos!G13/NºAsuntos!E13),NºAsuntos!G13/NºAsuntos!E13," - ")</f>
        <v>1.083989501312336</v>
      </c>
      <c r="AM13" s="874">
        <f>IF(ISNUMBER(((NºAsuntos!I13/NºAsuntos!G13)*11)/factor_trimestre),((NºAsuntos!I13/NºAsuntos!G13)*11)/factor_trimestre," - ")</f>
        <v>8.7457627118644066</v>
      </c>
      <c r="AN13" s="875">
        <f>IF(ISNUMBER('Resol  Asuntos'!D13/NºAsuntos!G13),'Resol  Asuntos'!D13/NºAsuntos!G13," - ")</f>
        <v>0.22578692493946731</v>
      </c>
      <c r="AO13" s="876">
        <f>IF(ISNUMBER((NºAsuntos!C13+NºAsuntos!E13)/NºAsuntos!G13),(NºAsuntos!C13+NºAsuntos!E13)/NºAsuntos!G13," - ")</f>
        <v>3.8795399515738498</v>
      </c>
      <c r="AP13" s="877" t="str">
        <f t="shared" si="2"/>
        <v xml:space="preserve"> - </v>
      </c>
      <c r="AQ13" s="877">
        <f>IF(ISNUMBER((H13-W13+K13)/(F13)),(H13-W13+K13)/(F13)," - ")</f>
        <v>-0.32075471698113206</v>
      </c>
      <c r="AR13" s="878">
        <f>IF(ISNUMBER((Datos!P13-Datos!Q13)/(Datos!R13-Datos!P13+Datos!Q13)),(Datos!P13-Datos!Q13)/(Datos!R13-Datos!P13+Datos!Q13)," - ")</f>
        <v>1.1030365948611471E-2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1759</v>
      </c>
      <c r="G16" s="333">
        <f>IF(ISNUMBER(IF(D_I="SI",Datos!I16,Datos!I16+Datos!AC16)),IF(D_I="SI",Datos!I16,Datos!I16+Datos!AC16)," - ")</f>
        <v>1748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1419</v>
      </c>
      <c r="X16" s="226">
        <f>IF(ISNUMBER(Datos!Q16),Datos!Q16," - ")</f>
        <v>49</v>
      </c>
      <c r="Y16" s="334">
        <f t="shared" ref="Y16:Y17" si="7">SUM(W16:X16)</f>
        <v>1468</v>
      </c>
      <c r="Z16" s="335" t="str">
        <f>IF(ISNUMBER(Datos!CC16),Datos!CC16," - ")</f>
        <v xml:space="preserve"> - </v>
      </c>
      <c r="AA16" s="332">
        <f>IF(ISNUMBER(IF(D_I="SI",Datos!L16,Datos!L16+Datos!AF16)),IF(D_I="SI",Datos!L16,Datos!L16+Datos!AF16)," - ")</f>
        <v>1863</v>
      </c>
      <c r="AB16" s="334">
        <f>IF(ISNUMBER(Datos!R16),Datos!R16," - ")</f>
        <v>500</v>
      </c>
      <c r="AC16" s="334">
        <f t="shared" si="6"/>
        <v>2363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183</v>
      </c>
      <c r="AJ16" s="231" t="str">
        <f>IF(ISNUMBER(Datos!BW16),Datos!BW16," - ")</f>
        <v xml:space="preserve"> - </v>
      </c>
      <c r="AK16" s="232" t="str">
        <f>IF(ISNUMBER(Datos!BX16),Datos!BX16," - ")</f>
        <v xml:space="preserve"> - </v>
      </c>
      <c r="AL16" s="243">
        <f>IF(ISNUMBER(NºAsuntos!G16/NºAsuntos!E16),NºAsuntos!G16/NºAsuntos!E16," - ")</f>
        <v>0.93171372291529875</v>
      </c>
      <c r="AM16" s="260">
        <f>IF(ISNUMBER(((NºAsuntos!I16/NºAsuntos!G16)*11)/factor_trimestre),((NºAsuntos!I16/NºAsuntos!G16)*11)/factor_trimestre," - ")</f>
        <v>3.9386892177589852</v>
      </c>
      <c r="AN16" s="244">
        <f>IF(ISNUMBER('Resol  Asuntos'!D16/NºAsuntos!G16),'Resol  Asuntos'!D16/NºAsuntos!G16," - ")</f>
        <v>0.12896405919661733</v>
      </c>
      <c r="AO16" s="245">
        <f>IF(ISNUMBER((NºAsuntos!C16+NºAsuntos!E16)/NºAsuntos!G16),(NºAsuntos!C16+NºAsuntos!E16)/NºAsuntos!G16," - ")</f>
        <v>2.3051444679351656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191</v>
      </c>
      <c r="X17" s="226">
        <f>IF(ISNUMBER(Datos!Q17),Datos!Q17," - ")</f>
        <v>1</v>
      </c>
      <c r="Y17" s="334">
        <f t="shared" si="7"/>
        <v>192</v>
      </c>
      <c r="Z17" s="335" t="str">
        <f>IF(ISNUMBER(Datos!CC17),Datos!CC17," - ")</f>
        <v xml:space="preserve"> - </v>
      </c>
      <c r="AA17" s="332">
        <f>IF(ISNUMBER(Datos!L17),Datos!L17,"-")</f>
        <v>161</v>
      </c>
      <c r="AB17" s="334">
        <f>IF(ISNUMBER(Datos!R17),Datos!R17," - ")</f>
        <v>5</v>
      </c>
      <c r="AC17" s="334">
        <f t="shared" si="6"/>
        <v>166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1.0324324324324323</v>
      </c>
      <c r="AM17" s="260">
        <f>IF(ISNUMBER(((NºAsuntos!I17/NºAsuntos!G17)*11)/factor_trimestre),((NºAsuntos!I17/NºAsuntos!G17)*11)/factor_trimestre," - ")</f>
        <v>2.5287958115183247</v>
      </c>
      <c r="AN17" s="244">
        <f>IF(ISNUMBER('Resol  Asuntos'!D17/NºAsuntos!G17),'Resol  Asuntos'!D17/NºAsuntos!G17," - ")</f>
        <v>8.9005235602094238E-2</v>
      </c>
      <c r="AO17" s="245">
        <f>IF(ISNUMBER((NºAsuntos!C17+NºAsuntos!E17)/NºAsuntos!G17),(NºAsuntos!C17+NºAsuntos!E17)/NºAsuntos!G17," - ")</f>
        <v>1.8429319371727748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1759</v>
      </c>
      <c r="G18" s="866">
        <f>SUBTOTAL(9,G15:G17)</f>
        <v>1915</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1610</v>
      </c>
      <c r="X18" s="867">
        <f t="shared" si="11"/>
        <v>50</v>
      </c>
      <c r="Y18" s="868">
        <f t="shared" si="11"/>
        <v>1660</v>
      </c>
      <c r="Z18" s="868">
        <f t="shared" si="11"/>
        <v>0</v>
      </c>
      <c r="AA18" s="868">
        <f t="shared" si="11"/>
        <v>2024</v>
      </c>
      <c r="AB18" s="868">
        <f t="shared" si="11"/>
        <v>505</v>
      </c>
      <c r="AC18" s="868">
        <f t="shared" si="11"/>
        <v>2529</v>
      </c>
      <c r="AD18" s="868">
        <f t="shared" si="11"/>
        <v>0</v>
      </c>
      <c r="AE18" s="872">
        <f t="shared" si="11"/>
        <v>0</v>
      </c>
      <c r="AF18" s="865">
        <f t="shared" si="11"/>
        <v>0</v>
      </c>
      <c r="AG18" s="873">
        <f t="shared" si="11"/>
        <v>0</v>
      </c>
      <c r="AH18" s="870">
        <f t="shared" si="11"/>
        <v>0</v>
      </c>
      <c r="AI18" s="865">
        <f t="shared" si="11"/>
        <v>200</v>
      </c>
      <c r="AJ18" s="867">
        <f t="shared" si="11"/>
        <v>0</v>
      </c>
      <c r="AK18" s="870">
        <f t="shared" si="11"/>
        <v>0</v>
      </c>
      <c r="AL18" s="874">
        <f>IF(ISNUMBER(NºAsuntos!G18/NºAsuntos!E18),NºAsuntos!G18/NºAsuntos!E18," - ")</f>
        <v>0.94262295081967218</v>
      </c>
      <c r="AM18" s="874">
        <f>IF(ISNUMBER(((NºAsuntos!I18/NºAsuntos!G18)*11)/factor_trimestre),((NºAsuntos!I18/NºAsuntos!G18)*11)/factor_trimestre," - ")</f>
        <v>3.7714285714285718</v>
      </c>
      <c r="AN18" s="875">
        <f>IF(ISNUMBER('Resol  Asuntos'!D18/NºAsuntos!G18),'Resol  Asuntos'!D18/NºAsuntos!G18," - ")</f>
        <v>0.12422360248447205</v>
      </c>
      <c r="AO18" s="876">
        <f>IF(ISNUMBER((NºAsuntos!C18+NºAsuntos!E18)/NºAsuntos!G18),(NºAsuntos!C18+NºAsuntos!E18)/NºAsuntos!G18," - ")</f>
        <v>2.2503105590062114</v>
      </c>
      <c r="AP18" s="877" t="str">
        <f t="shared" si="2"/>
        <v xml:space="preserve"> - </v>
      </c>
      <c r="AQ18" s="877">
        <f>IF(ISNUMBER((H18-W18+K18)/(F18)),(H18-W18+K18)/(F18)," - ")</f>
        <v>-0.9152927799886299</v>
      </c>
      <c r="AR18" s="878">
        <f>IF(ISNUMBER((Datos!P18-Datos!Q18)/(Datos!R18-Datos!P18+Datos!Q18)),(Datos!P18-Datos!Q18)/(Datos!R18-Datos!P18+Datos!Q18)," - ")</f>
        <v>3.0612244897959183E-2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1812</v>
      </c>
      <c r="G19" s="821">
        <f t="shared" si="13"/>
        <v>1968</v>
      </c>
      <c r="H19" s="820">
        <f t="shared" si="13"/>
        <v>0</v>
      </c>
      <c r="I19" s="822">
        <f t="shared" si="13"/>
        <v>0</v>
      </c>
      <c r="J19" s="822">
        <f t="shared" si="13"/>
        <v>0</v>
      </c>
      <c r="K19" s="881">
        <f t="shared" si="13"/>
        <v>0</v>
      </c>
      <c r="L19" s="822">
        <f t="shared" si="13"/>
        <v>335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1627</v>
      </c>
      <c r="X19" s="821">
        <f t="shared" si="14"/>
        <v>235</v>
      </c>
      <c r="Y19" s="828">
        <f t="shared" si="14"/>
        <v>1862</v>
      </c>
      <c r="Z19" s="828">
        <f t="shared" si="14"/>
        <v>0</v>
      </c>
      <c r="AA19" s="828">
        <f t="shared" si="14"/>
        <v>2076</v>
      </c>
      <c r="AB19" s="828">
        <f t="shared" si="14"/>
        <v>8296</v>
      </c>
      <c r="AC19" s="828">
        <f t="shared" si="14"/>
        <v>2684</v>
      </c>
      <c r="AD19" s="828">
        <f t="shared" si="14"/>
        <v>0</v>
      </c>
      <c r="AE19" s="830">
        <f t="shared" si="14"/>
        <v>0</v>
      </c>
      <c r="AF19" s="831">
        <f t="shared" si="14"/>
        <v>0</v>
      </c>
      <c r="AG19" s="832">
        <f t="shared" si="14"/>
        <v>0</v>
      </c>
      <c r="AH19" s="830">
        <f t="shared" si="14"/>
        <v>0</v>
      </c>
      <c r="AI19" s="820">
        <f t="shared" si="14"/>
        <v>573</v>
      </c>
      <c r="AJ19" s="820">
        <f t="shared" si="14"/>
        <v>0</v>
      </c>
      <c r="AK19" s="830">
        <f t="shared" si="14"/>
        <v>0</v>
      </c>
      <c r="AL19" s="884">
        <f>IF(ISNUMBER(NºAsuntos!G19/NºAsuntos!E19),NºAsuntos!G19/NºAsuntos!E19," - ")</f>
        <v>1.0092821782178218</v>
      </c>
      <c r="AM19" s="885">
        <f>IF(ISNUMBER(((NºAsuntos!I19/NºAsuntos!G19)*11)/factor_trimestre),((NºAsuntos!I19/NºAsuntos!G19)*11)/factor_trimestre," - ")</f>
        <v>6.2906192519926423</v>
      </c>
      <c r="AN19" s="885">
        <f>IF(ISNUMBER('Resol  Asuntos'!D19/NºAsuntos!G19),'Resol  Asuntos'!D19/NºAsuntos!G19," - ")</f>
        <v>0.17565910484365421</v>
      </c>
      <c r="AO19" s="886">
        <f>IF(ISNUMBER((NºAsuntos!C19+NºAsuntos!E19)/NºAsuntos!G19),(NºAsuntos!C19+NºAsuntos!E19)/NºAsuntos!G19," - ")</f>
        <v>3.0754138565297362</v>
      </c>
      <c r="AP19" s="887" t="str">
        <f t="shared" si="2"/>
        <v xml:space="preserve"> - </v>
      </c>
      <c r="AQ19" s="888">
        <f>IF(OR(ISNUMBER(FIND("01",Criterios!A8,1)),ISNUMBER(FIND("02",Criterios!A8,1)),ISNUMBER(FIND("03",Criterios!A8,1)),ISNUMBER(FIND("04",Criterios!A8,1))),(I19-W19+K19)/(F19-K19),(H19-W19+K19)/(F19-K19))</f>
        <v>-0.89790286975717437</v>
      </c>
      <c r="AR19" s="889">
        <f>IF(ISNUMBER((Datos!P19-Datos!Q19)/(Datos!R19-Datos!P19+Datos!Q19)),(Datos!P19-Datos!Q19)/(Datos!R19-Datos!P19+Datos!Q19)," - ")</f>
        <v>1.2201073694485115E-2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984.95955923750159</v>
      </c>
      <c r="G21" s="253">
        <f>IF(ISNUMBER(STDEV(G8:G18)),STDEV(G8:G18),"-")</f>
        <v>956.27098669780833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794.51507222959583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158.67577004697347</v>
      </c>
      <c r="AJ21" s="252">
        <f t="shared" si="18"/>
        <v>0</v>
      </c>
      <c r="AK21" s="254">
        <f t="shared" si="18"/>
        <v>0</v>
      </c>
      <c r="AL21" s="249">
        <f t="shared" si="18"/>
        <v>6.9152197139725521E-2</v>
      </c>
      <c r="AM21" s="250">
        <f t="shared" si="18"/>
        <v>3.0421334403475093</v>
      </c>
      <c r="AN21" s="250">
        <f t="shared" si="18"/>
        <v>0.18422263367841074</v>
      </c>
      <c r="AO21" s="251">
        <f t="shared" si="18"/>
        <v>1.0040930773311003</v>
      </c>
      <c r="AP21" s="291" t="str">
        <f t="shared" si="18"/>
        <v>-</v>
      </c>
      <c r="AQ21" s="292">
        <f t="shared" si="18"/>
        <v>0.42040189602611666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9WQU7Cypi7wBVcJQjpeUSRC7786wFidHK/Mm0qARS0tLOvrN9OmO1RLNBMcgTCX2Q80jnR0vSLa3Fppa3XoLA==" saltValue="E1K48ZHV7+uWwAygQyP1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SANTA COLOMA DE GRAMENET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-8.6206896551724144E-2</v>
      </c>
      <c r="E10" s="348">
        <f>IF(ISNUMBER((Datos!J10-Datos!T10)/Datos!T10),(Datos!J10-Datos!T10)/Datos!T10," - ")</f>
        <v>-0.36</v>
      </c>
      <c r="F10" s="348">
        <f>IF(ISNUMBER((Datos!K10-Datos!U10)/Datos!U10),(Datos!K10-Datos!U10)/Datos!U10," - ")</f>
        <v>-0.22727272727272727</v>
      </c>
      <c r="G10" s="349">
        <f>IF(ISNUMBER((Datos!L10-Datos!V10)/Datos!V10),(Datos!L10-Datos!V10)/Datos!V10," - ")</f>
        <v>-0.14754098360655737</v>
      </c>
      <c r="H10" s="230">
        <f>IF(ISNUMBER((Datos!M10-Datos!W10)/Datos!W10),(Datos!M10-Datos!W10)/Datos!W10," - ")</f>
        <v>0</v>
      </c>
      <c r="I10" s="350">
        <f>IF(ISNUMBER((Tasas!C10-Datos!BE10)/Datos!BE10),(Tasas!C10-Datos!BE10)/Datos!BE10," - ")</f>
        <v>0.10318225650916088</v>
      </c>
      <c r="J10" s="349">
        <f>IF(ISNUMBER((Tasas!D10-Datos!BF10)/Datos!BF10),(Tasas!D10-Datos!BF10)/Datos!BF10," - ")</f>
        <v>0.29411764705882359</v>
      </c>
      <c r="K10" s="351">
        <f>IF(ISNUMBER((Tasas!E10-Datos!BG10)/Datos!BG10),(Tasas!E10-Datos!BG10)/Datos!BG10," - ")</f>
        <v>7.583274273564837E-2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5.5401662049861496E-3</v>
      </c>
      <c r="I12" s="350">
        <f>IF(ISNUMBER((Tasas!C12-Datos!BE12)/Datos!BE12),(Tasas!C12-Datos!BE12)/Datos!BE12," - ")</f>
        <v>-3.6843333040142839E-2</v>
      </c>
      <c r="J12" s="349">
        <f>IF(ISNUMBER((Tasas!D12-Datos!BF12)/Datos!BF12),(Tasas!D12-Datos!BF12)/Datos!BF12," - ")</f>
        <v>-0.48745109036764017</v>
      </c>
      <c r="K12" s="351">
        <f>IF(ISNUMBER((Tasas!E12-Datos!BG12)/Datos!BG12),(Tasas!E12-Datos!BG12)/Datos!BG12," - ")</f>
        <v>-3.6655093390969701E-2</v>
      </c>
      <c r="M12" t="e">
        <f>IF(Monitorios="SI",Datos!CE12,0)</f>
        <v>#REF!</v>
      </c>
      <c r="N12" t="e">
        <f>IF(Monitorios="SI",Datos!CF12,0)</f>
        <v>#REF!</v>
      </c>
      <c r="O12" t="e">
        <f>IF(Monitorios="SI",Datos!CG12,0)</f>
        <v>#REF!</v>
      </c>
      <c r="P12" t="e">
        <f>IF(Monitorios="SI",Datos!CH12,0)</f>
        <v>#REF!</v>
      </c>
      <c r="Q12">
        <f>IF(J_V="SI",0,Datos!AG12)</f>
        <v>66</v>
      </c>
      <c r="R12">
        <f>IF(J_V="SI",0,Datos!AH12)</f>
        <v>276</v>
      </c>
      <c r="S12">
        <f>IF(J_V="SI",0,Datos!AI12)</f>
        <v>216</v>
      </c>
      <c r="T12">
        <f>IF(J_V="SI",0,Datos!AJ12)</f>
        <v>126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5.3908355795148251E-3</v>
      </c>
      <c r="I13" s="357">
        <f>IF(ISNUMBER((Tasas!C13-Datos!BE13)/Datos!BE13),(Tasas!C13-Datos!BE13)/Datos!BE13," - ")</f>
        <v>-3.5248237588120651E-2</v>
      </c>
      <c r="J13" s="355">
        <f>IF(ISNUMBER((Tasas!D13-Datos!BF13)/Datos!BF13),(Tasas!D13-Datos!BF13)/Datos!BF13," - ")</f>
        <v>-0.47910276140220454</v>
      </c>
      <c r="K13" s="358">
        <f>IF(ISNUMBER((Tasas!E13-Datos!BG13)/Datos!BG13),(Tasas!E13-Datos!BG13)/Datos!BG13," - ")</f>
        <v>-3.5364119045809411E-2</v>
      </c>
      <c r="M13" t="e">
        <f>IF(Monitorios="SI",Datos!CE13,0)</f>
        <v>#REF!</v>
      </c>
      <c r="N13" t="e">
        <f>IF(Monitorios="SI",Datos!CF13,0)</f>
        <v>#REF!</v>
      </c>
      <c r="O13" t="e">
        <f>IF(Monitorios="SI",Datos!CG13,0)</f>
        <v>#REF!</v>
      </c>
      <c r="P13" t="e">
        <f>IF(Monitorios="SI",Datos!CH13,0)</f>
        <v>#REF!</v>
      </c>
      <c r="Q13">
        <f>IF(J_V="SI",0,Datos!AG13)</f>
        <v>66</v>
      </c>
      <c r="R13">
        <f>IF(J_V="SI",0,Datos!AH13)</f>
        <v>276</v>
      </c>
      <c r="S13">
        <f>IF(J_V="SI",0,Datos!AI13)</f>
        <v>216</v>
      </c>
      <c r="T13">
        <f>IF(J_V="SI",0,Datos!AJ13)</f>
        <v>126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5.2378085490668275E-2</v>
      </c>
      <c r="E16" s="348">
        <f>IF(ISNUMBER(
   IF(D_I="SI",(Datos!J16-Datos!T16)/Datos!T16,(Datos!J16+Datos!AD16-(Datos!T16+Datos!AL16))/(Datos!T16+Datos!AL16))
     ),IF(D_I="SI",(Datos!J16-Datos!T16)/Datos!T16,(Datos!J16+Datos!AD16-(Datos!T16+Datos!AL16))/(Datos!T16+Datos!AL16))," - ")</f>
        <v>-4.5141065830721E-2</v>
      </c>
      <c r="F16" s="348">
        <f>IF(ISNUMBER(
   IF(D_I="SI",(Datos!K16-Datos!U16)/Datos!U16,(Datos!K16+Datos!AE16-(Datos!U16+Datos!AM16))/(Datos!U16+Datos!AM16))
     ),IF(D_I="SI",(Datos!K16-Datos!U16)/Datos!U16,(Datos!K16+Datos!AE16-(Datos!U16+Datos!AM16))/(Datos!U16+Datos!AM16))," - ")</f>
        <v>-0.12623152709359606</v>
      </c>
      <c r="G16" s="349">
        <f>IF(ISNUMBER(
   IF(D_I="SI",(Datos!L16-Datos!V16)/Datos!V16,(Datos!L16+Datos!AF16-(Datos!V16+Datos!AN16))/(Datos!V16+Datos!AN16))
     ),IF(D_I="SI",(Datos!L16-Datos!V16)/Datos!V16,(Datos!L16+Datos!AF16-(Datos!V16+Datos!AN16))/(Datos!V16+Datos!AN16))," - ")</f>
        <v>0.14154411764705882</v>
      </c>
      <c r="H16" s="230">
        <f>IF(ISNUMBER((Datos!M16-Datos!W16)/Datos!W16),(Datos!M16-Datos!W16)/Datos!W16," - ")</f>
        <v>-0.18666666666666668</v>
      </c>
      <c r="I16" s="350">
        <f>IF(ISNUMBER((Tasas!C16-Datos!BE16)/Datos!BE16),(Tasas!C16-Datos!BE16)/Datos!BE16," - ")</f>
        <v>0.30646063922397698</v>
      </c>
      <c r="J16" s="349">
        <f>IF(ISNUMBER((Tasas!D16-Datos!BF16)/Datos!BF16),(Tasas!D16-Datos!BF16)/Datos!BF16," - ")</f>
        <v>-6.9166079398637684E-2</v>
      </c>
      <c r="K16" s="351">
        <f>IF(ISNUMBER((Tasas!E16-Datos!BG16)/Datos!BG16),(Tasas!E16-Datos!BG16)/Datos!BG16," - ")</f>
        <v>0.14974036115685158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-0.35521235521235522</v>
      </c>
      <c r="E17" s="348">
        <f>IF(ISNUMBER(
   IF(D_I="SI",(Datos!J17-Datos!T17)/Datos!T17,(Datos!J17+Datos!AD17-(Datos!T17+Datos!AL17))/(Datos!T17+Datos!AL17))
     ),IF(D_I="SI",(Datos!J17-Datos!T17)/Datos!T17,(Datos!J17+Datos!AD17-(Datos!T17+Datos!AL17))/(Datos!T17+Datos!AL17))," - ")</f>
        <v>-3.1413612565445025E-2</v>
      </c>
      <c r="F17" s="348">
        <f>IF(ISNUMBER(
   IF(D_I="SI",(Datos!K17-Datos!U17)/Datos!U17,(Datos!K17+Datos!AE17-(Datos!U17+Datos!AM17))/(Datos!U17+Datos!AM17))
     ),IF(D_I="SI",(Datos!K17-Datos!U17)/Datos!U17,(Datos!K17+Datos!AE17-(Datos!U17+Datos!AM17))/(Datos!U17+Datos!AM17))," - ")</f>
        <v>-0.20416666666666666</v>
      </c>
      <c r="G17" s="349">
        <f>IF(ISNUMBER(
   IF(D_I="SI",(Datos!L17-Datos!V17)/Datos!V17,(Datos!L17+Datos!AF17-(Datos!V17+Datos!AN17))/(Datos!V17+Datos!AN17))
     ),IF(D_I="SI",(Datos!L17-Datos!V17)/Datos!V17,(Datos!L17+Datos!AF17-(Datos!V17+Datos!AN17))/(Datos!V17+Datos!AN17))," - ")</f>
        <v>-0.23333333333333334</v>
      </c>
      <c r="H17" s="230">
        <f>IF(ISNUMBER((Datos!M17-Datos!W17)/Datos!W17),(Datos!M17-Datos!W17)/Datos!W17," - ")</f>
        <v>1.8333333333333333</v>
      </c>
      <c r="I17" s="350">
        <f>IF(ISNUMBER((Tasas!C17-Datos!BE17)/Datos!BE17),(Tasas!C17-Datos!BE17)/Datos!BE17," - ")</f>
        <v>-3.6649214659685923E-2</v>
      </c>
      <c r="J17" s="349">
        <f>IF(ISNUMBER((Tasas!D17-Datos!BF17)/Datos!BF17),(Tasas!D17-Datos!BF17)/Datos!BF17," - ")</f>
        <v>2.5602094240837689</v>
      </c>
      <c r="K17" s="351">
        <f>IF(ISNUMBER((Tasas!E17-Datos!BG17)/Datos!BG17),(Tasas!E17-Datos!BG17)/Datos!BG17," - ")</f>
        <v>-1.7102966841186767E-2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-2.6041666666666665E-3</v>
      </c>
      <c r="E18" s="354">
        <f>IF(ISNUMBER(
   IF(D_I="SI",(Datos!J18-Datos!T18)/Datos!T18,(Datos!J18+Datos!AD18-(Datos!T18+Datos!AL18))/(Datos!T18+Datos!AL18))
     ),IF(D_I="SI",(Datos!J18-Datos!T18)/Datos!T18,(Datos!J18+Datos!AD18-(Datos!T18+Datos!AL18))/(Datos!T18+Datos!AL18))," - ")</f>
        <v>-4.3673012318029114E-2</v>
      </c>
      <c r="F18" s="354">
        <f>IF(ISNUMBER(
   IF(D_I="SI",(Datos!K18-Datos!U18)/Datos!U18,(Datos!K18+Datos!AE18-(Datos!U18+Datos!AM18))/(Datos!U18+Datos!AM18))
     ),IF(D_I="SI",(Datos!K18-Datos!U18)/Datos!U18,(Datos!K18+Datos!AE18-(Datos!U18+Datos!AM18))/(Datos!U18+Datos!AM18))," - ")</f>
        <v>-0.13626609442060086</v>
      </c>
      <c r="G18" s="355">
        <f>IF(ISNUMBER(
   IF(D_I="SI",(Datos!L18-Datos!V18)/Datos!V18,(Datos!L18+Datos!AF18-(Datos!V18+Datos!AN18))/(Datos!V18+Datos!AN18))
     ),IF(D_I="SI",(Datos!L18-Datos!V18)/Datos!V18,(Datos!L18+Datos!AF18-(Datos!V18+Datos!AN18))/(Datos!V18+Datos!AN18))," - ")</f>
        <v>9.8805646036916397E-2</v>
      </c>
      <c r="H18" s="356">
        <f>IF(ISNUMBER((Datos!M18-Datos!W18)/Datos!W18),(Datos!M18-Datos!W18)/Datos!W18," - ")</f>
        <v>-0.13419913419913421</v>
      </c>
      <c r="I18" s="357">
        <f>IF(ISNUMBER((Tasas!C18-Datos!BE18)/Datos!BE18),(Tasas!C18-Datos!BE18)/Datos!BE18," - ")</f>
        <v>0.27215759267876521</v>
      </c>
      <c r="J18" s="355">
        <f>IF(ISNUMBER((Tasas!D18-Datos!BF18)/Datos!BF18),(Tasas!D18-Datos!BF18)/Datos!BF18," - ")</f>
        <v>2.3930520824930151E-3</v>
      </c>
      <c r="K18" s="358">
        <f>IF(ISNUMBER((Tasas!E18-Datos!BG18)/Datos!BG18),(Tasas!E18-Datos!BG18)/Datos!BG18," - ")</f>
        <v>0.13183456070900645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2.8122165104324161E-2</v>
      </c>
      <c r="E19" s="363">
        <f>IF(ISNUMBER(
   IF(J_V="SI",(Datos!J19-Datos!T19)/Datos!T19,(Datos!J19+Datos!Z19-(Datos!T19+Datos!AH19))/(Datos!T19+Datos!AH19))
     ),IF(J_V="SI",(Datos!J19-Datos!T19)/Datos!T19,(Datos!J19+Datos!Z19-(Datos!T19+Datos!AH19))/(Datos!T19+Datos!AH19))," - ")</f>
        <v>-9.1879741500421469E-2</v>
      </c>
      <c r="F19" s="363">
        <f>IF(ISNUMBER(
   IF(J_V="SI",(Datos!K19-Datos!U19)/Datos!U19,(Datos!K19+Datos!AA19-(Datos!U19+Datos!AI19))/(Datos!U19+Datos!AI19))
     ),IF(J_V="SI",(Datos!K19-Datos!U19)/Datos!U19,(Datos!K19+Datos!AA19-(Datos!U19+Datos!AI19))/(Datos!U19+Datos!AI19))," - ")</f>
        <v>-6.0483870967741937E-2</v>
      </c>
      <c r="G19" s="364">
        <f>IF(ISNUMBER(
   IF(J_V="SI",(Datos!L19-Datos!V19)/Datos!V19,(Datos!L19+Datos!AB19-(Datos!V19+Datos!AJ19))/(Datos!V19+Datos!AJ19))
     ),IF(J_V="SI",(Datos!L19-Datos!V19)/Datos!V19,(Datos!L19+Datos!AB19-(Datos!V19+Datos!AJ19))/(Datos!V19+Datos!AJ19))," - ")</f>
        <v>2.0743172660796897E-2</v>
      </c>
      <c r="H19" s="365">
        <f>IF(ISNUMBER((Datos!M19-Datos!W19)/Datos!W19),(Datos!M19-Datos!W19)/Datos!W19," - ")</f>
        <v>-4.817275747508306E-2</v>
      </c>
      <c r="I19" s="362">
        <f>IF(ISNUMBER((Tasas!C19-Datos!BE19)/Datos!BE19),(Tasas!C19-Datos!BE19)/Datos!BE19," - ")</f>
        <v>8.6456252445826776E-2</v>
      </c>
      <c r="J19" s="363">
        <f>IF(ISNUMBER((Tasas!D19-Datos!BF19)/Datos!BF19),(Tasas!D19-Datos!BF19)/Datos!BF19," - ")</f>
        <v>-0.34279265946425924</v>
      </c>
      <c r="K19" s="364">
        <f>IF(ISNUMBER((Tasas!E19-Datos!BG19)/Datos!BG19),(Tasas!E19-Datos!BG19)/Datos!BG19," - ")</f>
        <v>4.962517545180805E-2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0.18074952755018711</v>
      </c>
      <c r="E21" s="278">
        <f t="shared" si="1"/>
        <v>0.16008040079025285</v>
      </c>
      <c r="F21" s="278">
        <f t="shared" si="1"/>
        <v>4.9841822821894387E-2</v>
      </c>
      <c r="G21" s="279">
        <f t="shared" si="1"/>
        <v>0.18355134767538306</v>
      </c>
      <c r="H21" s="285">
        <f t="shared" si="1"/>
        <v>0.77810464617962993</v>
      </c>
      <c r="I21" s="277">
        <f t="shared" si="1"/>
        <v>0.15990283749301412</v>
      </c>
      <c r="J21" s="278">
        <f t="shared" si="1"/>
        <v>1.1454642345897899</v>
      </c>
      <c r="K21" s="279">
        <f t="shared" si="1"/>
        <v>8.5374090547201048E-2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h/SP8c7Pq1nlxD4a5MBR1Z4p/Y1x6Vf9ULfB29UIjz22hOboClh1B6qzJHMxa02ZZQkea9Wj3oykK5velHWug==" saltValue="OiH2fpqQz84TC52reqdN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